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0" windowWidth="15915" windowHeight="80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Лист1!$A$1:$AA$132</definedName>
  </definedNames>
  <calcPr calcId="145621"/>
</workbook>
</file>

<file path=xl/calcChain.xml><?xml version="1.0" encoding="utf-8"?>
<calcChain xmlns="http://schemas.openxmlformats.org/spreadsheetml/2006/main">
  <c r="W94" i="1" l="1"/>
  <c r="X94" i="1" s="1"/>
  <c r="V93" i="1"/>
  <c r="W93" i="1" s="1"/>
  <c r="X93" i="1" s="1"/>
  <c r="V11" i="1" l="1"/>
  <c r="W11" i="1" s="1"/>
  <c r="X11" i="1" s="1"/>
  <c r="V9" i="1"/>
  <c r="W9" i="1" s="1"/>
  <c r="X9" i="1" s="1"/>
  <c r="X108" i="1" l="1"/>
  <c r="X117" i="1"/>
  <c r="W32" i="1" l="1"/>
  <c r="X32" i="1" s="1"/>
  <c r="W33" i="1"/>
  <c r="X33" i="1" s="1"/>
  <c r="V38" i="1"/>
  <c r="V91" i="1" l="1"/>
  <c r="W8" i="1" l="1"/>
  <c r="X8" i="1" s="1"/>
  <c r="V7" i="1"/>
  <c r="V23" i="1" l="1"/>
  <c r="W23" i="1" s="1"/>
  <c r="X23" i="1" s="1"/>
  <c r="V41" i="1"/>
  <c r="V37" i="1" l="1"/>
  <c r="V36" i="1"/>
  <c r="V35" i="1"/>
  <c r="V34" i="1"/>
  <c r="V31" i="1"/>
  <c r="V30" i="1"/>
  <c r="V28" i="1" l="1"/>
  <c r="W28" i="1" s="1"/>
  <c r="X28" i="1" s="1"/>
  <c r="V78" i="1"/>
  <c r="W58" i="1"/>
  <c r="X58" i="1" s="1"/>
  <c r="V22" i="1"/>
  <c r="W22" i="1" s="1"/>
  <c r="X22" i="1" s="1"/>
  <c r="V26" i="1" l="1"/>
  <c r="W26" i="1" s="1"/>
  <c r="X26" i="1" s="1"/>
  <c r="V25" i="1"/>
  <c r="W25" i="1" s="1"/>
  <c r="X25" i="1" s="1"/>
  <c r="V27" i="1"/>
  <c r="W27" i="1" s="1"/>
  <c r="X27" i="1" s="1"/>
  <c r="V21" i="1"/>
  <c r="V18" i="1"/>
  <c r="W18" i="1" s="1"/>
  <c r="X18" i="1" s="1"/>
  <c r="V17" i="1"/>
  <c r="W17" i="1" s="1"/>
  <c r="X17" i="1" s="1"/>
  <c r="V15" i="1"/>
  <c r="W92" i="1"/>
  <c r="X92" i="1" s="1"/>
  <c r="W91" i="1" l="1"/>
  <c r="X91" i="1" s="1"/>
  <c r="W90" i="1"/>
  <c r="X90" i="1" s="1"/>
  <c r="W57" i="1"/>
  <c r="X57" i="1" s="1"/>
  <c r="V59" i="1"/>
  <c r="W59" i="1" s="1"/>
  <c r="X59" i="1" s="1"/>
  <c r="W60" i="1"/>
  <c r="X60" i="1" s="1"/>
  <c r="V56" i="1"/>
  <c r="W56" i="1" s="1"/>
  <c r="X56" i="1" s="1"/>
  <c r="V85" i="1" l="1"/>
  <c r="V82" i="1"/>
  <c r="V81" i="1"/>
  <c r="V79" i="1"/>
  <c r="V74" i="1"/>
  <c r="V77" i="1"/>
  <c r="V88" i="1"/>
  <c r="V71" i="1"/>
  <c r="V68" i="1"/>
  <c r="W68" i="1" s="1"/>
  <c r="X68" i="1" s="1"/>
  <c r="V67" i="1"/>
  <c r="W67" i="1" s="1"/>
  <c r="X67" i="1" s="1"/>
  <c r="V65" i="1"/>
  <c r="V83" i="1"/>
  <c r="V66" i="1"/>
  <c r="V64" i="1"/>
  <c r="V63" i="1"/>
  <c r="V62" i="1"/>
  <c r="V53" i="1"/>
  <c r="W10" i="1" l="1"/>
  <c r="X10" i="1" s="1"/>
  <c r="W100" i="1"/>
  <c r="X99" i="1"/>
  <c r="W98" i="1"/>
  <c r="W119" i="1"/>
  <c r="X119" i="1" s="1"/>
  <c r="X116" i="1"/>
  <c r="X118" i="1" l="1"/>
  <c r="W114" i="1"/>
  <c r="X114" i="1" s="1"/>
  <c r="W38" i="1" l="1"/>
  <c r="X38" i="1" s="1"/>
  <c r="V39" i="1"/>
  <c r="W39" i="1" s="1"/>
  <c r="X39" i="1" s="1"/>
  <c r="W37" i="1"/>
  <c r="X37" i="1" s="1"/>
  <c r="V40" i="1"/>
  <c r="W41" i="1" l="1"/>
  <c r="X41" i="1" s="1"/>
  <c r="W36" i="1"/>
  <c r="X36" i="1" s="1"/>
  <c r="W31" i="1"/>
  <c r="X31" i="1" s="1"/>
  <c r="X110" i="1" l="1"/>
  <c r="X115" i="1" l="1"/>
  <c r="X113" i="1"/>
  <c r="X112" i="1"/>
  <c r="X111" i="1"/>
  <c r="X109" i="1"/>
  <c r="X107" i="1"/>
  <c r="X106" i="1"/>
  <c r="X105" i="1"/>
  <c r="X104" i="1"/>
  <c r="X103" i="1"/>
  <c r="X100" i="1"/>
  <c r="X98" i="1"/>
  <c r="W95" i="1"/>
  <c r="X95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55" i="1"/>
  <c r="X55" i="1" s="1"/>
  <c r="W54" i="1"/>
  <c r="X54" i="1" s="1"/>
  <c r="W53" i="1"/>
  <c r="X53" i="1" s="1"/>
  <c r="V52" i="1"/>
  <c r="W52" i="1" s="1"/>
  <c r="X52" i="1" s="1"/>
  <c r="W51" i="1"/>
  <c r="X51" i="1" s="1"/>
  <c r="V50" i="1"/>
  <c r="W50" i="1" s="1"/>
  <c r="X50" i="1" s="1"/>
  <c r="V49" i="1"/>
  <c r="W49" i="1" s="1"/>
  <c r="X49" i="1" s="1"/>
  <c r="V48" i="1"/>
  <c r="W48" i="1" s="1"/>
  <c r="X48" i="1" s="1"/>
  <c r="W47" i="1"/>
  <c r="X47" i="1" s="1"/>
  <c r="W46" i="1"/>
  <c r="X46" i="1" s="1"/>
  <c r="V19" i="1"/>
  <c r="W19" i="1" s="1"/>
  <c r="X19" i="1" s="1"/>
  <c r="V45" i="1"/>
  <c r="W45" i="1" s="1"/>
  <c r="X45" i="1" s="1"/>
  <c r="V44" i="1"/>
  <c r="W44" i="1" s="1"/>
  <c r="X44" i="1" s="1"/>
  <c r="V43" i="1"/>
  <c r="W43" i="1" s="1"/>
  <c r="X43" i="1" s="1"/>
  <c r="W42" i="1"/>
  <c r="X42" i="1" s="1"/>
  <c r="W40" i="1"/>
  <c r="X40" i="1" s="1"/>
  <c r="W35" i="1"/>
  <c r="X35" i="1" s="1"/>
  <c r="W34" i="1"/>
  <c r="X34" i="1" s="1"/>
  <c r="W30" i="1"/>
  <c r="X30" i="1" s="1"/>
  <c r="V29" i="1"/>
  <c r="W29" i="1" s="1"/>
  <c r="X29" i="1" s="1"/>
  <c r="V24" i="1"/>
  <c r="W24" i="1" s="1"/>
  <c r="X24" i="1" s="1"/>
  <c r="W21" i="1"/>
  <c r="X21" i="1" s="1"/>
  <c r="V20" i="1"/>
  <c r="W20" i="1" s="1"/>
  <c r="X20" i="1" s="1"/>
  <c r="W16" i="1"/>
  <c r="X16" i="1" s="1"/>
  <c r="W15" i="1"/>
  <c r="X15" i="1" s="1"/>
  <c r="W14" i="1"/>
  <c r="X14" i="1" s="1"/>
  <c r="W13" i="1"/>
  <c r="X13" i="1" s="1"/>
  <c r="W12" i="1"/>
  <c r="X12" i="1" s="1"/>
  <c r="X120" i="1" l="1"/>
  <c r="X101" i="1"/>
  <c r="W7" i="1"/>
  <c r="X7" i="1" s="1"/>
  <c r="X96" i="1" s="1"/>
  <c r="X122" i="1" l="1"/>
</calcChain>
</file>

<file path=xl/sharedStrings.xml><?xml version="1.0" encoding="utf-8"?>
<sst xmlns="http://schemas.openxmlformats.org/spreadsheetml/2006/main" count="1877" uniqueCount="716">
  <si>
    <t xml:space="preserve">№ </t>
  </si>
  <si>
    <t>Наименование организации</t>
  </si>
  <si>
    <t>Код ТРУ</t>
  </si>
  <si>
    <t xml:space="preserve">Наименование закупаемых товаров, работ и услуг </t>
  </si>
  <si>
    <t>Наименование закупаемых товаров, работ и услуг на государственном языке</t>
  </si>
  <si>
    <t>Краткая характеристика (описание) товаров, работ и услуг</t>
  </si>
  <si>
    <t>Краткая характеристика (описание) товаров, работ и услуг на государственном языке</t>
  </si>
  <si>
    <t>Дополнительная характеристика</t>
  </si>
  <si>
    <t>Дополнительная характеристика на государственном языке</t>
  </si>
  <si>
    <t>Способ закупок</t>
  </si>
  <si>
    <t>Прогноз местного содержания, %</t>
  </si>
  <si>
    <t>Код КАТО места осуществ-ления закупок</t>
  </si>
  <si>
    <t xml:space="preserve">Место (адрес)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</si>
  <si>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</si>
  <si>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</si>
  <si>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</si>
  <si>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</si>
  <si>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(размер авансового платежа), %</t>
  </si>
  <si>
    <t>Код единицы измерения по МКЕИ</t>
  </si>
  <si>
    <t>Ед. измерения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</si>
  <si>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</si>
  <si>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</si>
  <si>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</si>
  <si>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</si>
  <si>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</si>
  <si>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</si>
  <si>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</si>
  <si>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4а</t>
  </si>
  <si>
    <t>5а</t>
  </si>
  <si>
    <t>6а</t>
  </si>
  <si>
    <t>1. Товары</t>
  </si>
  <si>
    <t>ТОО "Масальский ГОК"</t>
  </si>
  <si>
    <t>26.20.13.000.008.04.0796.000000000000</t>
  </si>
  <si>
    <t>Компьютер</t>
  </si>
  <si>
    <t>моноблок, универсальный (решающий широкий круг задач), Среднепроизводительный</t>
  </si>
  <si>
    <t>моноблок, әмбебап (шешетiнi мiндеттердiң ауқымы кең бiр топтар), орта өндiргiшi</t>
  </si>
  <si>
    <t>ЭЦПП</t>
  </si>
  <si>
    <t>г. Астана, ул. Кунаева, 8, блок Б</t>
  </si>
  <si>
    <t>март-апрель</t>
  </si>
  <si>
    <t>г. Астана</t>
  </si>
  <si>
    <t>DDP</t>
  </si>
  <si>
    <t>в течение 15 рабочих дней</t>
  </si>
  <si>
    <t>по факту</t>
  </si>
  <si>
    <t>штука</t>
  </si>
  <si>
    <t>62.01.29.000.000.00.0796.000000000000</t>
  </si>
  <si>
    <t>Программное обеспечение</t>
  </si>
  <si>
    <t>Бағдарламалық жасақтама</t>
  </si>
  <si>
    <t xml:space="preserve">Оригинал программного обеспечения (кроме услуг по разработке программных обеспечении по заказу) </t>
  </si>
  <si>
    <t>бағдарламалық жасақтама түпнұсқасы (тапсырыс бойынша бағдарламалық жасақтаманы әзірлеу бойынша қызметтен басқа)</t>
  </si>
  <si>
    <t>ОИ</t>
  </si>
  <si>
    <t>Офисное приложение с функциями создания, редактирования и вывода на печать текстовых документов, таблиц, презентаций и заметок, обработки цифровых фотографий и видеофайлов</t>
  </si>
  <si>
    <t>Программное обеспечение, антивирусное</t>
  </si>
  <si>
    <t>Вирусқа қарсы бағдарламалық жасақтама</t>
  </si>
  <si>
    <t>Программный продукт - сборник законодательных актов</t>
  </si>
  <si>
    <t>Бағдарламалық өнім - заң шығарушы акттардын жинағы</t>
  </si>
  <si>
    <t>Устройство</t>
  </si>
  <si>
    <t>Құрылғы</t>
  </si>
  <si>
    <t>796</t>
  </si>
  <si>
    <t>Штука</t>
  </si>
  <si>
    <t>26.20.40.000.108.00.0796.000000000000</t>
  </si>
  <si>
    <t>Источник бесперебойного питания</t>
  </si>
  <si>
    <t>Үздіксіз қоректендіру көзі</t>
  </si>
  <si>
    <t>резервный</t>
  </si>
  <si>
    <t xml:space="preserve">Резервтік. </t>
  </si>
  <si>
    <t>26.30.30.900.116.00.0006.000000000000</t>
  </si>
  <si>
    <t>Кабель</t>
  </si>
  <si>
    <t>Кәбіл</t>
  </si>
  <si>
    <t>телекоммуникационный (поточный), медный</t>
  </si>
  <si>
    <t>телекоммуникациялық (ағынды), мыс</t>
  </si>
  <si>
    <t>UTP-кабель</t>
  </si>
  <si>
    <t>UTP-кәбіл</t>
  </si>
  <si>
    <t>006</t>
  </si>
  <si>
    <t>Метр</t>
  </si>
  <si>
    <t>32.99.59.900.087.00.0796.000000000002</t>
  </si>
  <si>
    <t>Фильтр</t>
  </si>
  <si>
    <t>Сүзгі</t>
  </si>
  <si>
    <t>сетевой, количество входных разъемов (розеток) 3-5, длина шнура 2-5 м</t>
  </si>
  <si>
    <t>желілік, кіру ажырамаларының саны 3-ден 5-ге дейін, бауының ұзындығы 2-ден 5 м дейін</t>
  </si>
  <si>
    <t>Стол</t>
  </si>
  <si>
    <t>Үстел</t>
  </si>
  <si>
    <t>стол для персонала с мобильной тумбой, цвет "венге" и "дуб беленный"</t>
  </si>
  <si>
    <t>жылжымалы қысқа бағанасы бар қызметкерлер құрамы үшiн үстел, түсі "венге" мен "дуб беленный"</t>
  </si>
  <si>
    <t>предоплата 30%</t>
  </si>
  <si>
    <t>ОТП</t>
  </si>
  <si>
    <t>Кресло</t>
  </si>
  <si>
    <t>31.00.11.700.001.00.0796.000000000006</t>
  </si>
  <si>
    <t>Стул</t>
  </si>
  <si>
    <t>Орындық</t>
  </si>
  <si>
    <t>мягкий, каркас и спинка металлические, сидение из тканевой обивки</t>
  </si>
  <si>
    <t>жұмсақ, қаңқасы және арқалығы металдан, отырғышы матадан жасалған</t>
  </si>
  <si>
    <t>для посетителей</t>
  </si>
  <si>
    <t>келушiлер үшiн</t>
  </si>
  <si>
    <t>31.01.12.900.005.00.0796.000000000001</t>
  </si>
  <si>
    <t>Шкаф</t>
  </si>
  <si>
    <t>ЛДСП, для одежды, без замка</t>
  </si>
  <si>
    <t>ТАЖТ, киімге арналған</t>
  </si>
  <si>
    <t xml:space="preserve">ТАЖТ, құжаттарға арналған </t>
  </si>
  <si>
    <t>31.01.12.500.002.00.0796.000000000001</t>
  </si>
  <si>
    <t>Вешалка</t>
  </si>
  <si>
    <t>Iлгiш</t>
  </si>
  <si>
    <t>напольная, деревянная, для костюма</t>
  </si>
  <si>
    <t>жерде тұратыны, ағаш, костюм үшiн</t>
  </si>
  <si>
    <t>апрель-май</t>
  </si>
  <si>
    <t>25.99.21.300.001.03.0796.000000000000</t>
  </si>
  <si>
    <t>Сейф</t>
  </si>
  <si>
    <t>огневзломостойкий</t>
  </si>
  <si>
    <t xml:space="preserve">отқа бұзуға төзімді </t>
  </si>
  <si>
    <t>27.51.25.900.001.00.0796.000000000001</t>
  </si>
  <si>
    <t>Диспенсер</t>
  </si>
  <si>
    <t>для воды, напольный, с холодильником</t>
  </si>
  <si>
    <t>суға арналған, еденге қоятын, тоңазытқышпен</t>
  </si>
  <si>
    <t>С функцией нагрева воды и охлаждения воды, напольный с холодильником</t>
  </si>
  <si>
    <t xml:space="preserve">Суды жылыту және салқындау функциясымен, еденге қоятын, тоңазытқышпен </t>
  </si>
  <si>
    <t>27.51.24.300.000.00.0796.000000000002</t>
  </si>
  <si>
    <t>Электрочайник</t>
  </si>
  <si>
    <t>Электр шәйнек</t>
  </si>
  <si>
    <t>скрытый, объем 1,5-1,99 л</t>
  </si>
  <si>
    <t>Жасырын жылытатын элемент. Көлемі – 1,5-нан 1,99 л дейін.</t>
  </si>
  <si>
    <t>23.41.11.300.016.02.0704.000000000004</t>
  </si>
  <si>
    <t>Сервиз</t>
  </si>
  <si>
    <t>чайный, фарфоровый, на 6 персон, обычный, ГОСТ 28390-89</t>
  </si>
  <si>
    <t>фарфорлық шай сервизі. Қарапайым 6 персон. МСТ 28390-89</t>
  </si>
  <si>
    <t>обычный фарфоровый чайный сервиз на 6 персон. ГОСТ 28390-90</t>
  </si>
  <si>
    <t>704</t>
  </si>
  <si>
    <t>Набор</t>
  </si>
  <si>
    <t>26.20.30.100.021.00.0796.000000000001</t>
  </si>
  <si>
    <t>Уничтожитель бумаги и дисков</t>
  </si>
  <si>
    <t>Қағаз және дискі жойғыш</t>
  </si>
  <si>
    <t>степень секретности 2, рабочая ширина резки полосы в 6 мм, способ резки прямая (параллельная)</t>
  </si>
  <si>
    <t>құпиялық деңгейі – 2, кесу ені – 6 мм жолақтар, кесу тәсілі – түзу (параллель) кесу</t>
  </si>
  <si>
    <t>22.29.25.900.007.00.0796.000000000002</t>
  </si>
  <si>
    <t>Корзина</t>
  </si>
  <si>
    <t>Кәрзеңке</t>
  </si>
  <si>
    <t>для бумаг, объем 15 л</t>
  </si>
  <si>
    <t>Қағазға арналған, көлемі 15 л</t>
  </si>
  <si>
    <t>Корзина для бумаг, объем 15 л</t>
  </si>
  <si>
    <t>Қағазға арналған кәрзеңке, көлемі 15 л</t>
  </si>
  <si>
    <t>черный</t>
  </si>
  <si>
    <t>Қара.</t>
  </si>
  <si>
    <t>26.51.11.200.000.00.0796.000000000000</t>
  </si>
  <si>
    <t>Компас</t>
  </si>
  <si>
    <t>гироскопический</t>
  </si>
  <si>
    <t>гироскопиялық</t>
  </si>
  <si>
    <t>Компас горный</t>
  </si>
  <si>
    <t>тау компасы</t>
  </si>
  <si>
    <t>26.51.11.900.002.00.0796.000000000000</t>
  </si>
  <si>
    <t>Навигатор</t>
  </si>
  <si>
    <t>туристический</t>
  </si>
  <si>
    <t>туристік</t>
  </si>
  <si>
    <t>прибор GPS</t>
  </si>
  <si>
    <t>GPS аспабы</t>
  </si>
  <si>
    <t>26.70.14.100.000.00.0796.000000000000</t>
  </si>
  <si>
    <t>Фотокамера</t>
  </si>
  <si>
    <t>с моментальным получением готового снимка</t>
  </si>
  <si>
    <t>дайын суретті лезде алатын</t>
  </si>
  <si>
    <t>25.73.40.190.002.00.0796.000000000000</t>
  </si>
  <si>
    <t>Рулетка</t>
  </si>
  <si>
    <t>длина 5 м</t>
  </si>
  <si>
    <t>ұзындығы 5 м</t>
  </si>
  <si>
    <t>26.20.16.920.000.00.0796.000000000033</t>
  </si>
  <si>
    <t>Плоттер (графопостроитель)</t>
  </si>
  <si>
    <t>Плоттер (графиксалғыш)</t>
  </si>
  <si>
    <t>струйный, метод печати термальная струйная печать, формат А0, разрешение 2400*1200 dpi</t>
  </si>
  <si>
    <t>ағынды, басып шығару әдісі: термалды ағынды басып шығару, форматы – А0, ажыратымдылығы - 2400х1200 dpi</t>
  </si>
  <si>
    <t>32.99.59.900.045.00.0796.000000000000</t>
  </si>
  <si>
    <t>Портрет</t>
  </si>
  <si>
    <t>в рамке</t>
  </si>
  <si>
    <t xml:space="preserve">рамкадағы </t>
  </si>
  <si>
    <t>Портрет главы государства настенный.</t>
  </si>
  <si>
    <t xml:space="preserve">Мемлекет басшысының портретi </t>
  </si>
  <si>
    <t>32.99.16.100.001.00.0796.000000000003</t>
  </si>
  <si>
    <t>Доска</t>
  </si>
  <si>
    <t xml:space="preserve">Тақта </t>
  </si>
  <si>
    <t>маркерно-магнитная</t>
  </si>
  <si>
    <t>маркерлік-магниттік</t>
  </si>
  <si>
    <t>28.23.23.900.003.00.0796.000000000000</t>
  </si>
  <si>
    <t>Антистеплер</t>
  </si>
  <si>
    <t>для скоб</t>
  </si>
  <si>
    <t>қапсырмаларды шығаруға арналған құрылғы</t>
  </si>
  <si>
    <t>17.23.13.310.000.00.0796.000000000003</t>
  </si>
  <si>
    <t>Тетрадь</t>
  </si>
  <si>
    <t>Дәптер</t>
  </si>
  <si>
    <t>общая, 60 листов, ГОСТ 13309-90</t>
  </si>
  <si>
    <t>жалпы,60 парақтар, МСТ 13309-90</t>
  </si>
  <si>
    <t>Тетрадь на спирали</t>
  </si>
  <si>
    <t>Шиыршықта дәптер</t>
  </si>
  <si>
    <t>17.23.14.500.000.00.5111.000000000066</t>
  </si>
  <si>
    <t>Бумага</t>
  </si>
  <si>
    <t>Қағаз</t>
  </si>
  <si>
    <t>для офисного оборудования, формат А4, плотность 80 г/м2, ГОСТ 6656-76</t>
  </si>
  <si>
    <t>офистік жабдығы үшiн, А4 форматы, тығыздығы 80г/м2, МСТ 6656-76</t>
  </si>
  <si>
    <t>формат А4, плотность 80г/м2, 21х29,5 см</t>
  </si>
  <si>
    <t>А4 форматы, тығыздығы 80г/м2, 21х29,5 см</t>
  </si>
  <si>
    <t>5111</t>
  </si>
  <si>
    <t>Одна пачка</t>
  </si>
  <si>
    <t>канцелярский, механический</t>
  </si>
  <si>
    <t>кеңсе, механикалық</t>
  </si>
  <si>
    <t>Зажим</t>
  </si>
  <si>
    <t>Қысқыш</t>
  </si>
  <si>
    <t>размер 24 мм</t>
  </si>
  <si>
    <t>өлшемі 24 мм</t>
  </si>
  <si>
    <t>зажим для документов</t>
  </si>
  <si>
    <t>құжаттар үшiн қысқыш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</si>
  <si>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</si>
  <si>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</si>
  <si>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</si>
  <si>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бухгалтерлік, ақша сомаларымен жұмыс істеуге арналған қосымша құралдары бар («00» және «000» батырмалары, бөлшек бөлігі разрядтарының саны белгілі, автоматтық жуықтау), үстел үсті габаритті.</t>
  </si>
  <si>
    <t>32.99.15.100.000.00.0796.000000000003</t>
  </si>
  <si>
    <t>Карандаш</t>
  </si>
  <si>
    <t>Қарындаш</t>
  </si>
  <si>
    <t>простой, с ластиком</t>
  </si>
  <si>
    <t>қара, өшіргіші бар</t>
  </si>
  <si>
    <t>20.52.10.900.005.00.0796.000000000025</t>
  </si>
  <si>
    <t>Клей</t>
  </si>
  <si>
    <t xml:space="preserve"> Желім</t>
  </si>
  <si>
    <t>канцелярский, карандаш</t>
  </si>
  <si>
    <t xml:space="preserve">кеңселік, сұйық </t>
  </si>
  <si>
    <t>17.21.15.350.000.00.0796.000000000003</t>
  </si>
  <si>
    <t>Конверт</t>
  </si>
  <si>
    <t>почтовый</t>
  </si>
  <si>
    <t>пошталық</t>
  </si>
  <si>
    <t>32.99.59.900.082.00.0796.000000000001</t>
  </si>
  <si>
    <t>Штрих-корректор</t>
  </si>
  <si>
    <t>с кисточкой и разбавителем</t>
  </si>
  <si>
    <t>қылқаламы және сұйылтқышы бар</t>
  </si>
  <si>
    <t>22.29.25.500.005.00.0796.000000000001</t>
  </si>
  <si>
    <t>Линейка</t>
  </si>
  <si>
    <t>Сызғыш</t>
  </si>
  <si>
    <t>пластмассовая, с многоцветным рисунком, 30 см</t>
  </si>
  <si>
    <t>пластмассалық, 30 см көп түсті суретпен</t>
  </si>
  <si>
    <t>22.19.73.210.000.00.0796.000000000000</t>
  </si>
  <si>
    <t>Ластик</t>
  </si>
  <si>
    <t>Өшіргіш</t>
  </si>
  <si>
    <t>мягкий</t>
  </si>
  <si>
    <t>жұмсақ</t>
  </si>
  <si>
    <t>22.29.25.700.006.00.0796.000000000000</t>
  </si>
  <si>
    <t>Лоток</t>
  </si>
  <si>
    <t>для бумаг, из пластмассы, вертикальный</t>
  </si>
  <si>
    <t>қағазға арналған, пластмасстан жасалған, вертикалдық</t>
  </si>
  <si>
    <t>22.29.25.500.000.00.0796.000000000000</t>
  </si>
  <si>
    <t>Маркер</t>
  </si>
  <si>
    <t>пластиковый, круглый, ширина линии 1,8 мм</t>
  </si>
  <si>
    <t>пластикалық, дөңгелек, сызық ені 1,8 мм</t>
  </si>
  <si>
    <t>32.99.59.900.078.00.0796.000000000000</t>
  </si>
  <si>
    <t>Настольный набор</t>
  </si>
  <si>
    <t>Үстел жинағы</t>
  </si>
  <si>
    <t>кожанный, письменный, не менее 5 предметов</t>
  </si>
  <si>
    <t>былғары, жазбаға арналған, кемінде 5 заттан тұратын</t>
  </si>
  <si>
    <t>25.71.11.390.000.00.0796.000000000006</t>
  </si>
  <si>
    <t>Нож</t>
  </si>
  <si>
    <t>Пышақ</t>
  </si>
  <si>
    <t>канцелярский</t>
  </si>
  <si>
    <t xml:space="preserve">кеңсе </t>
  </si>
  <si>
    <t>22.29.25.900.006.00.0796.000000000006</t>
  </si>
  <si>
    <t>Ножницы</t>
  </si>
  <si>
    <t>Қайшы</t>
  </si>
  <si>
    <t>с пластиковой ручкой, длина 16 см</t>
  </si>
  <si>
    <t>Пластикалық сапты, ұзындығы 16 см</t>
  </si>
  <si>
    <t>22.29.29.900.017.00.0796.000000000007</t>
  </si>
  <si>
    <t>Органайзер</t>
  </si>
  <si>
    <t>пластиковый, на вращающейся основе</t>
  </si>
  <si>
    <t>пластикалық, айналмалы табаны бар, 10 затқа дейін</t>
  </si>
  <si>
    <t>Органайзер пластиковый настольный круглый, 10 предметов: ручка шариковая, карандаш простой, ластик, точилка, степлер, скрепки, и т.д.</t>
  </si>
  <si>
    <t>пластикалық үстелдік дөңгелек айналмалы табаны бар органайзер, 10 затқа дейін: шарикті қаламсап, қара қарындаш, өшіргіш, қайрағыш, степлер, түйреуіш және т.б.</t>
  </si>
  <si>
    <t>22.29.25.700.000.00.0796.000000000001</t>
  </si>
  <si>
    <t>Папка</t>
  </si>
  <si>
    <t>регистратор, пластиковая, формат А4, 70 мм</t>
  </si>
  <si>
    <t>тіркегіш, пластикалық, форматы А4, 70 мм</t>
  </si>
  <si>
    <t>Папка-регистратор, А4, 70 мм</t>
  </si>
  <si>
    <t>тіркегіш папка, А4, 70 мм</t>
  </si>
  <si>
    <t>22.29.25.700.000.00.0796.000000000007</t>
  </si>
  <si>
    <t>с зажимом, пластиковая, формат А4, 50 мм</t>
  </si>
  <si>
    <t>пластикалық папка қыстырғышы бар, форматы А4, 50 мм</t>
  </si>
  <si>
    <t>15.12.12.900.016.00.0796.000000000006</t>
  </si>
  <si>
    <t>конференц, из искусственной кожи, формат А 4, 50 мм, ГОСТ 28631-2005</t>
  </si>
  <si>
    <t>конференц, былғарыдан жасалынған, форматы А 4, 50 мм, МСТ 28631-2005</t>
  </si>
  <si>
    <t>Папка на подпись</t>
  </si>
  <si>
    <t>Қол қоюға мұқаба</t>
  </si>
  <si>
    <t>26.20.21.900.000.00.0796.000000000005</t>
  </si>
  <si>
    <t>Флеш-накопитель</t>
  </si>
  <si>
    <t>Флеш-жинақтағыш</t>
  </si>
  <si>
    <t>интерфейс USB 2.0, емкость 8 Гб</t>
  </si>
  <si>
    <t>интерфейсі USB 2.0, сыйымдылығы - 8 Гб</t>
  </si>
  <si>
    <t>22.29.25.500.004.01.0796.000000000005</t>
  </si>
  <si>
    <t>Ручка</t>
  </si>
  <si>
    <t>Қаламсап</t>
  </si>
  <si>
    <t>пластиковая, шариковая</t>
  </si>
  <si>
    <t xml:space="preserve">пластикалық, шарикті </t>
  </si>
  <si>
    <t>22.29.25.500.004.01.0796.000000000002</t>
  </si>
  <si>
    <t>пластиковая, гелевая</t>
  </si>
  <si>
    <t xml:space="preserve">пластикалық, гелді  </t>
  </si>
  <si>
    <t>22.29.25.700.000.00.0796.000000000023</t>
  </si>
  <si>
    <t>скоросшиватель, пластиковая, формат A4, 50 мм</t>
  </si>
  <si>
    <t>жеделтіккіш, пластикалық, форматы А 4, 50 мм</t>
  </si>
  <si>
    <t>25.99.23.500.001.00.5111.000000000000</t>
  </si>
  <si>
    <t>Скоба</t>
  </si>
  <si>
    <t>Қапсырма</t>
  </si>
  <si>
    <t>для канцелярских целей, проволочная</t>
  </si>
  <si>
    <t>Кеңселік мақсттарға арналған, сым қапсырмалар</t>
  </si>
  <si>
    <t>32.99.59.900.084.00.0796.000000000002</t>
  </si>
  <si>
    <t>Скотч</t>
  </si>
  <si>
    <t>Жапсырғыш</t>
  </si>
  <si>
    <t>металлизированный, ширина свыше 3 см, широкий</t>
  </si>
  <si>
    <t xml:space="preserve"> металлдалған, ені 3 см артық, енді</t>
  </si>
  <si>
    <t>Скрепка</t>
  </si>
  <si>
    <t>Қағаз қыстырғыш</t>
  </si>
  <si>
    <t>28.23.23.900.005.00.0796.000000000000</t>
  </si>
  <si>
    <t>Степлер</t>
  </si>
  <si>
    <t>17.23.12.700.013.00.5111.000000000000</t>
  </si>
  <si>
    <t>Стикер</t>
  </si>
  <si>
    <t>для заметок, бумажный, самоклеющийся</t>
  </si>
  <si>
    <t>белгілеу үшін, қағаз, өздiгiнен жабысатыны</t>
  </si>
  <si>
    <t>с липким краем, для заметок</t>
  </si>
  <si>
    <t xml:space="preserve"> жабыспақ шетпен, белгілеуге</t>
  </si>
  <si>
    <t>22.29.25.900.002.00.0796.000000000002</t>
  </si>
  <si>
    <t>Файл - вкладыш</t>
  </si>
  <si>
    <t>Файл - ішбет</t>
  </si>
  <si>
    <t>из полипропиленовой пленки</t>
  </si>
  <si>
    <t>полипропиленді пленкадан жасалған</t>
  </si>
  <si>
    <t>32.99.16.300.006.00.0796.000000000000</t>
  </si>
  <si>
    <t>Краска штемпельная</t>
  </si>
  <si>
    <t>Штемпель бояуы</t>
  </si>
  <si>
    <t>для печатей и штемпелей</t>
  </si>
  <si>
    <t xml:space="preserve">мөрлер мен мөртабандарға арналған </t>
  </si>
  <si>
    <t>29.10.22.300.000.00.0796.000000000010</t>
  </si>
  <si>
    <t>Автомобиль</t>
  </si>
  <si>
    <t>Автокөлік</t>
  </si>
  <si>
    <t>легковой, класс внедорожник, полноразмерный, автоматическая трансмиссия, свыше 2600 куб.см, усилитель руля, кондиционер, подушки безопасности</t>
  </si>
  <si>
    <t>жеңіл, внедорожник класы, толық өлшемді, автоматты трансмиссия, меңгерік күшейткіші, қауіпсіздік жастықтары, салқындатқыш, 2600 текше см астам</t>
  </si>
  <si>
    <t>Автомобиль повышенной проходимости</t>
  </si>
  <si>
    <t>Өткiштiгi жоғары автокөлік</t>
  </si>
  <si>
    <t>ЭОТТ</t>
  </si>
  <si>
    <t>предоплата 50%</t>
  </si>
  <si>
    <t>29.10.30.300.000.00.0796.000000000020</t>
  </si>
  <si>
    <t>Автобус</t>
  </si>
  <si>
    <t>класс 2, вместимость 12-14 мест, длина менее 6 м</t>
  </si>
  <si>
    <t>класс 2, сыйымдылығы 12-14 отыратын орынды, ұзындығы 6 метрге дейін</t>
  </si>
  <si>
    <t>Микроавтобус, 13 мест, полноприводный</t>
  </si>
  <si>
    <t>Микроавтобус, 13 отыратын орынды, барлық дөңгелегi айналатын</t>
  </si>
  <si>
    <t>итого по товарам</t>
  </si>
  <si>
    <t xml:space="preserve">2. Работы </t>
  </si>
  <si>
    <t>1 Р</t>
  </si>
  <si>
    <t>74.90.19.000.003.00.0999.000000000000</t>
  </si>
  <si>
    <t>Нормативтік/техникалық құжаттаманы/технологиялық сұлбасыны/паспорттарды, техникалық-экономикалық дәлелдеуді және ұқсас құжаттар әзірлеу жөніндегі жұмыстар</t>
  </si>
  <si>
    <t>Работы по разработке технико-экономического обоснования</t>
  </si>
  <si>
    <t>Техникалық-экономикалық дәлелдеуді әзірлеу жөніндегі жұмыстар</t>
  </si>
  <si>
    <t>в течение 240 календарных дней со дня заключения договора</t>
  </si>
  <si>
    <t>работы</t>
  </si>
  <si>
    <t>2 Р</t>
  </si>
  <si>
    <t>итого по работам</t>
  </si>
  <si>
    <t xml:space="preserve">3. Услуги </t>
  </si>
  <si>
    <t>68.20.12.960.000.00.0777.000000000000</t>
  </si>
  <si>
    <t>Услуги по аренде административных/производственных помещений</t>
  </si>
  <si>
    <t>Әкімшілік/өндірістік үй-жайларды жалға алу бойынша қызметтер</t>
  </si>
  <si>
    <t>Аренда офисного помещения для административного персонала</t>
  </si>
  <si>
    <t xml:space="preserve"> Әкімшілік қызметкерлері үшін офис бөлмелерді жалға алу</t>
  </si>
  <si>
    <t>со дня заключения Договора по 31 декабря 2016 года</t>
  </si>
  <si>
    <t>ежемесячно по факту</t>
  </si>
  <si>
    <t>услуги</t>
  </si>
  <si>
    <t>Аренда офисного помещения в г. Державинске</t>
  </si>
  <si>
    <t>Державинск қ. офис бөлмелерді жалға алу</t>
  </si>
  <si>
    <t>Акмолинская область, Жаркаинский район, г. Державинск</t>
  </si>
  <si>
    <t>61.10.11.200.000.00.0777.000000000000</t>
  </si>
  <si>
    <t>Услуги телефонной связи</t>
  </si>
  <si>
    <t>Телефон байланысының қызметтері</t>
  </si>
  <si>
    <t>Услуги фиксированной местной, междугородней, международной телефонной связи  - доступ и пользование</t>
  </si>
  <si>
    <t>Нақты жергілікті, қалааралық, халықаралық телефон байланысы қызметтері – қатынау және пайдалану</t>
  </si>
  <si>
    <t>со дня заключения Договора по 31 декабря 2015 года</t>
  </si>
  <si>
    <t>35.13.10.100.000.00.0777.000000000000</t>
  </si>
  <si>
    <t>Услуги по передаче/распределению электроэнергии</t>
  </si>
  <si>
    <t>Электр энергиясын беру және тарату бойынша қызметтер</t>
  </si>
  <si>
    <t>65.12.11.335.000.00.0777.000000000000</t>
  </si>
  <si>
    <t>Услуги по страхованию от несчастных случаев</t>
  </si>
  <si>
    <t>Жазатайым оқиғалардан сақтандыру бойынша қызметтер</t>
  </si>
  <si>
    <t>Страхование ГПО работодателя</t>
  </si>
  <si>
    <t>Жұмыс берушінің жауапкершілігін азаматтық-құқықтық сақтандыру</t>
  </si>
  <si>
    <t>со дня заключения Договора 365 календарных ней</t>
  </si>
  <si>
    <t>предоплата 100%</t>
  </si>
  <si>
    <t>62.09.20.000.002.00.0777.000000000000</t>
  </si>
  <si>
    <t>Услуги по установке и настройке программного обеспечения</t>
  </si>
  <si>
    <t>Бағдарламалық қамтамасыз етуді орнату және жөнге келтіру бойынша қызметтер</t>
  </si>
  <si>
    <t>Ежеквартальное обновление и услуги специалистов по техническому сопровождению программного обеспечения "1С"</t>
  </si>
  <si>
    <t>"1С" бағдарламалық жасақтаманын тоқсан сайын жаңару және техникалық қолдау маманның қызметы</t>
  </si>
  <si>
    <t>г. Астана, ул. Д. Кунаева, 8, блок Б</t>
  </si>
  <si>
    <t>со дня подписания договора по 31 декабря 2016 года</t>
  </si>
  <si>
    <t>53.10.12.200.000.00.0777.000000000000</t>
  </si>
  <si>
    <t>Услуги почтовые по пересылке почтовых отправлений</t>
  </si>
  <si>
    <t>Пошта жөнелтілімдерін жіберу бойынша пошта қызметтері</t>
  </si>
  <si>
    <t>ОВХ</t>
  </si>
  <si>
    <t>69.20.10.000.002.00.0777.000000000000</t>
  </si>
  <si>
    <t>Услуги по проведению аудита финансовой отчетности</t>
  </si>
  <si>
    <t>Қаржылық есептiлiктiң аудитiнiң жүргiзуi бойымен қызмет</t>
  </si>
  <si>
    <t>в течение 90 календарных дней со дня заключения Договора</t>
  </si>
  <si>
    <t>62.09.20.000.005.00.0777.000000000000</t>
  </si>
  <si>
    <t>Услуги по пользованию информационной системой электронных закупок</t>
  </si>
  <si>
    <t>Электронды сатып алудың ақпараттық жүйелерді пайдалану бойынша қызметтер</t>
  </si>
  <si>
    <t>март</t>
  </si>
  <si>
    <t>предоплата 25%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</si>
  <si>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</si>
  <si>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</si>
  <si>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Нормативтік-техникалық және өзге құжаттаманы өзектендіру мен қамтамасыз ету қызметтері (әзiрлеуден/түзетуден/құрастырудан басқа)</t>
  </si>
  <si>
    <t>Услуги по актуализации справочника ЕНС ТРУ</t>
  </si>
  <si>
    <t>Тауарлар, жұмыстар және қызметтердің Бірыңғай номенклатуралық анықтамалығын өзектендіру бойынша қызметтер</t>
  </si>
  <si>
    <t>74.90.20.000.040.00.0777.000000000000</t>
  </si>
  <si>
    <t>Услуги по мониторингу местного содержания в закупках товаров, работ, услуг</t>
  </si>
  <si>
    <t>Тауарлар, жұмыстар және қызметтердің жергілікті қамту мониторингі картасын қызметтер</t>
  </si>
  <si>
    <t>Тауарлар, жұмыстар және қызметтердің жергілікті қамту мониторингі картасын техникалық сүйемелдеу бойынша қызметтер</t>
  </si>
  <si>
    <t>итого по  услугам</t>
  </si>
  <si>
    <t>Всего:</t>
  </si>
  <si>
    <t>В настоящем Плане используются следующие понятия и аббревиатуры:</t>
  </si>
  <si>
    <t xml:space="preserve">План закупок товаров, работ и услуг ТОО "Масальский горно-обогатительный комбинат" на 2016 год </t>
  </si>
  <si>
    <t>Моноблок Core i5, с  установленной операционной системой Windows</t>
  </si>
  <si>
    <t>Моноблок Core i5, Windows операциялық жүйе орнатқызған</t>
  </si>
  <si>
    <t>Услуги по разработке и техническому сопровождению карты мониторинга местного содержания в закупках товаров, работ, услуг</t>
  </si>
  <si>
    <t>31.01.12.900.006.00.0796.000000000000</t>
  </si>
  <si>
    <t>письменный, ЛДСП, однотумбовый</t>
  </si>
  <si>
    <t>жазбаша, ТАЖТ-дан жасалған, бір тумбалы</t>
  </si>
  <si>
    <t>из кожезаменителя, на колесиках</t>
  </si>
  <si>
    <t>31.00.13.500.001.00.0796.000000000048</t>
  </si>
  <si>
    <t>жасанды былғарыдан жасалған, дөңгелегі бар</t>
  </si>
  <si>
    <t>в течение 30 клендарных дней</t>
  </si>
  <si>
    <t>НДС не облагается</t>
  </si>
  <si>
    <t>в течение 60 календарных дней</t>
  </si>
  <si>
    <t>ЭТ</t>
  </si>
  <si>
    <t>ОП</t>
  </si>
  <si>
    <t>международные, с уведомлением</t>
  </si>
  <si>
    <t>по Казахстану</t>
  </si>
  <si>
    <t>31.01.12.900.005.00.0796.000000000009</t>
  </si>
  <si>
    <t>ЛДСП, для документов, с замком</t>
  </si>
  <si>
    <t>шкаф для документов двухсекционный, нижняя часть закрывается на замок, размеры 2000*800*430, цвет "венге" и "дуб беленный"</t>
  </si>
  <si>
    <t>құжаттарға арналған екі секциялық шкаф, төменгі бөлімі құлыпқа жабылады, көлемі 2000*800*430, түсі "венге" мен "дуб беленный"</t>
  </si>
  <si>
    <t>шкаф для документов, закрытый, с замком, размеры 2000*800*430, цвет "венге" и "дуб беленный"</t>
  </si>
  <si>
    <t>құжаттарға арналған шкаф, жабық, құлыппен, көлемі 2000*800*430, түсі "венге" мен "дуб беленный"</t>
  </si>
  <si>
    <t>для сотрудников</t>
  </si>
  <si>
    <t>қызметкер үшiн</t>
  </si>
  <si>
    <t>26.20.40.000.136.00.0796.000000000000</t>
  </si>
  <si>
    <t>Картридж тонерный</t>
  </si>
  <si>
    <t>Картридж тонер</t>
  </si>
  <si>
    <t>31.01.12.900.001.01.0796.000000000000</t>
  </si>
  <si>
    <t>Тумба</t>
  </si>
  <si>
    <t>приставная, из ЛДСП, на колесиках</t>
  </si>
  <si>
    <t>цвет "венге"</t>
  </si>
  <si>
    <t>түсі "венге"</t>
  </si>
  <si>
    <t>ТАЖТ-дан жасалған, дөңгелегі бар</t>
  </si>
  <si>
    <t>стол для персонала со стационарной тумбой, цвет "венге" и "дуб беленный"</t>
  </si>
  <si>
    <t>31.01.12.900.006.00.0796.000000000005</t>
  </si>
  <si>
    <t>для совещания,  ЛДСП</t>
  </si>
  <si>
    <t>Конференц-стол</t>
  </si>
  <si>
    <t>Конференц-Үстел</t>
  </si>
  <si>
    <t>кеңеске арналған, ТАЖТ</t>
  </si>
  <si>
    <t>апрель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</si>
  <si>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</si>
  <si>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</si>
  <si>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актуализации/обеспечению нормативной/справочной/технической информацией/документацией (кроме разработки/корректировки/ составлению)</t>
  </si>
  <si>
    <t>январь</t>
  </si>
  <si>
    <t>Компьютер / шеттегi оргтехника/жабдық және олардыңның бөлiктерi техникалық күтiм бойымен қызмет</t>
  </si>
  <si>
    <t>74.30.11.000.001.00.0777.000000000000</t>
  </si>
  <si>
    <t>Услуги по письменному переводу</t>
  </si>
  <si>
    <t>Жазбаша аударма қызметы</t>
  </si>
  <si>
    <t>62.02.30.000.003.00.0777.000000000000</t>
  </si>
  <si>
    <t>Услуги по технической поддержке сайтов</t>
  </si>
  <si>
    <t>Сайттардың техникалық қолдауы бойымен қызмет</t>
  </si>
  <si>
    <t>71.20.19.000.013.00.0999.000000000000</t>
  </si>
  <si>
    <t>Работы по проведению экспертиз/испытаний/тестирований</t>
  </si>
  <si>
    <t>Сараптама/сынақ/тест жүргізу жұмыстар</t>
  </si>
  <si>
    <t>3 Р</t>
  </si>
  <si>
    <t>Услуги по разработке и техническому сопровождению сайта</t>
  </si>
  <si>
    <t>Сайтты жасау және техникалық сүйемелдеуы қызметы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</si>
  <si>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</si>
  <si>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</si>
  <si>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Полиграфиялық өнiмдi басып шығару/ полиграфиялық жасау жұмысы</t>
  </si>
  <si>
    <t>Изготовление фирменных бланков, визиток</t>
  </si>
  <si>
    <t>Фирмалық бланкты, визиткаларды жасау</t>
  </si>
  <si>
    <t>26.20.13.000.008.00.0796.000000000000</t>
  </si>
  <si>
    <t>персональный стандартный</t>
  </si>
  <si>
    <t>дербес стандартты</t>
  </si>
  <si>
    <t>26.20.13.000.008.00.0796.000000000003</t>
  </si>
  <si>
    <t>персональный для работы с графикой</t>
  </si>
  <si>
    <t>дербес жазу-сызумен жұмыс үшiн</t>
  </si>
  <si>
    <t>17.12.13.100.000.00.0736.000000000002</t>
  </si>
  <si>
    <t>для факса, масса 1 м2/80 г, ширина 210 мм, плотность 60 г/м2</t>
  </si>
  <si>
    <t>Рулон</t>
  </si>
  <si>
    <t>25.99.23.300.000.00.0778.000000000002</t>
  </si>
  <si>
    <t>Упаковка</t>
  </si>
  <si>
    <t>факс үшін, салмағы 1 м2/80 г, ені 210 мм, тығыздығы 60 г/м2</t>
  </si>
  <si>
    <t>22.29.25.700.006.00.0796.000000000001</t>
  </si>
  <si>
    <t>для бумаг, из пластмассы, горизонтальный</t>
  </si>
  <si>
    <t>22.29.25.700.000.00.0796.000000000011</t>
  </si>
  <si>
    <t>30 вкладышей, пластиковая, формат A4, 50 мм</t>
  </si>
  <si>
    <t>30 қосымша бетпен, пластикалық, форматы А4, 50 мм</t>
  </si>
  <si>
    <t>25.99.23.500.000.01.0778.000000000003</t>
  </si>
  <si>
    <t>металлическая, размер 28 мм</t>
  </si>
  <si>
    <t>металлдық, өлшем 28мм</t>
  </si>
  <si>
    <t>№24/6, не менее 30 листов</t>
  </si>
  <si>
    <t>Скобы металлические для степлера 24/6. 1-30 листов. Изготовлены из оцинкованной стали, в картонной коробочке 1000 скоб.</t>
  </si>
  <si>
    <t>Қапсырма шегелер 24/6. 1-30 парақтың степлера үшін бақыр. Оцинкованной алмастан деген жаса-, 1000 қапсырма шегенің картон қорапшасында.</t>
  </si>
  <si>
    <t>Скрепки канцелярские. Длина 28 мм., кол-во в пачке: не менее 100 шт.</t>
  </si>
  <si>
    <t>Канцеляриялық скрепка. Ұзындық мм. 28 мм, саны будада: емес кемірек 100 шт. материал: никелді.</t>
  </si>
  <si>
    <t>34 Т</t>
  </si>
  <si>
    <t>28.23.23.900.004.00.0796.000000000000</t>
  </si>
  <si>
    <t>Дырокол</t>
  </si>
  <si>
    <t>Тескіш</t>
  </si>
  <si>
    <r>
      <t>ТРУ</t>
    </r>
    <r>
      <rPr>
        <sz val="10"/>
        <rFont val="Times New Roman"/>
        <family val="1"/>
        <charset val="204"/>
      </rPr>
      <t xml:space="preserve"> – товары, работы и услуги;</t>
    </r>
  </si>
  <si>
    <r>
      <t>КАТО</t>
    </r>
    <r>
      <rPr>
        <sz val="10"/>
        <rFont val="Times New Roman"/>
        <family val="1"/>
        <charset val="204"/>
      </rPr>
      <t xml:space="preserve"> - классификатор Административно-территориального обозначения (Агентство РК по статистике);</t>
    </r>
  </si>
  <si>
    <r>
      <t>МКЕИ</t>
    </r>
    <r>
      <rPr>
        <sz val="10"/>
        <rFont val="Times New Roman"/>
        <family val="1"/>
        <charset val="204"/>
      </rPr>
      <t xml:space="preserve"> - межгосударственный классификатор единиц измерений (Агентство РК по статистике);</t>
    </r>
  </si>
  <si>
    <r>
      <t>ОИ</t>
    </r>
    <r>
      <rPr>
        <sz val="10"/>
        <rFont val="Times New Roman"/>
        <family val="1"/>
        <charset val="204"/>
      </rPr>
      <t xml:space="preserve"> – закупки из одного источника;</t>
    </r>
  </si>
  <si>
    <t>Работы по разработке/корректировке нормативной/технической документации/технологических схем/паспортов, технико-экономического обоснования и аналогичных документов</t>
  </si>
  <si>
    <t>22.29.29.900.075.00.0796.000000000000</t>
  </si>
  <si>
    <t>Табличка</t>
  </si>
  <si>
    <t>информационная, пластиковая</t>
  </si>
  <si>
    <t>27.40.22.900.000.03.0796.000000000000</t>
  </si>
  <si>
    <t>Светильник</t>
  </si>
  <si>
    <t>местного освещения, настольный</t>
  </si>
  <si>
    <t>Шторы</t>
  </si>
  <si>
    <t>Принтер лазерный</t>
  </si>
  <si>
    <t>26.20.16.300.006.00.0796.000000000008</t>
  </si>
  <si>
    <t>монохромный, формат А4, скорость печати 20-30 стр/м, разрешение 2400*600 dpi</t>
  </si>
  <si>
    <t>для МФУ</t>
  </si>
  <si>
    <t>для принтера</t>
  </si>
  <si>
    <t>Принтер лазер</t>
  </si>
  <si>
    <t>бiр түстi, А4 форматы, мөрдiң жылдамдығы 20-30 бет/мин, ажыратымдылығы 2400*600 dpi</t>
  </si>
  <si>
    <t>26.20.18.900.001.01.0796.000000000011</t>
  </si>
  <si>
    <t>многофункциональное, печать лазерная, разрешение 1200*1200 dpi</t>
  </si>
  <si>
    <t>көп функциялы, лазер баспасы, ажыратымдылығы 1200*1200 dpi</t>
  </si>
  <si>
    <t>26.20.18.900.001.01.0796.000000000003</t>
  </si>
  <si>
    <t>многофункциональное, печать струйная, разрешение 4800*1200 dpi</t>
  </si>
  <si>
    <t xml:space="preserve">Многофункциональное устройство: принтер/копир/сканер/факс, формат А3, А4, цветной </t>
  </si>
  <si>
    <t>Көп функциялы құрылғы: принтер/копир/сканер/факс, А3, А4 форматы, түрлі-түсті</t>
  </si>
  <si>
    <t>Коммутатор сетевой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</si>
  <si>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</si>
  <si>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</si>
  <si>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не менее 24 портов</t>
  </si>
  <si>
    <t>Тораптық коммутатор</t>
  </si>
  <si>
    <t>аралық сақтауы бар коммутацияның тәсiлi (Store and Forward), симметриялы, басқарылатыны (күрделi)</t>
  </si>
  <si>
    <t>24 порт кем емес</t>
  </si>
  <si>
    <t>26.30.30.900.068.01.0796.000000000005</t>
  </si>
  <si>
    <t>Разъем</t>
  </si>
  <si>
    <t>телефонный, коннектор модульный RJ45</t>
  </si>
  <si>
    <t>Жалғағыш</t>
  </si>
  <si>
    <t>телефон, модулдiк жалғағыші RJ45</t>
  </si>
  <si>
    <t>27.32.13.500.001.01.0796.000000000007</t>
  </si>
  <si>
    <t>коммутационный (патч-корд), UTP, 3 метра</t>
  </si>
  <si>
    <t>27.32.13.500.001.01.0796.000000000010</t>
  </si>
  <si>
    <t>коммутационный (патч-корд), UTP, 2 метра</t>
  </si>
  <si>
    <t>RJ45</t>
  </si>
  <si>
    <t>26.30.21.200.002.00.0796.000000000005</t>
  </si>
  <si>
    <t>способ коммутации сквозной (cut-through), симметричный, неуправляемый (простой)</t>
  </si>
  <si>
    <t>Switch, 8 портов, RJ-45 Ethernet 10/100/1000 Мбит/сек</t>
  </si>
  <si>
    <t>коммутацияның тәсiлi тесiп өткен (cut-through), симметриялы, басқарылмайтын (қарапайым)</t>
  </si>
  <si>
    <t>коммуникациялық (патч-корд), UTP, 2 метр</t>
  </si>
  <si>
    <t>коммуникациялық (патч-корд), UTP, 3 метр</t>
  </si>
  <si>
    <t>17.23.12.700.005.00.0796.000000000000</t>
  </si>
  <si>
    <t>ежедневник</t>
  </si>
  <si>
    <t>формат А5, датированный</t>
  </si>
  <si>
    <t>13.92.15.500.004.00.0796.000000000047</t>
  </si>
  <si>
    <t>из смешанной ткани, римские</t>
  </si>
  <si>
    <t>26.51.66.900.004.00.0839.000000000000</t>
  </si>
  <si>
    <t>Тестер</t>
  </si>
  <si>
    <t>кабельный, для проверки состояния оптических кабелей и линий</t>
  </si>
  <si>
    <t>Набор инструментов для установки сети (Lаn тестер, обжимной инструмент и т.д.)</t>
  </si>
  <si>
    <t>Комплект</t>
  </si>
  <si>
    <t>кабель, оптикалық кәбiлдердi және желiлер күйдiң тексерiсi үшiн</t>
  </si>
  <si>
    <t>Желiнiң қондыруы үшiн құрал-саймандар жинағы (Lаn тестер, сығымдағыш құрал ж.б.)</t>
  </si>
  <si>
    <r>
      <t>ЭЦПП</t>
    </r>
    <r>
      <rPr>
        <sz val="10"/>
        <rFont val="Times New Roman"/>
        <family val="1"/>
        <charset val="204"/>
      </rPr>
      <t xml:space="preserve"> – электронные закупки способом запроса ценовых предложений с применением торгов на понижение;</t>
    </r>
  </si>
  <si>
    <r>
      <t>ЭОТТ</t>
    </r>
    <r>
      <rPr>
        <sz val="10"/>
        <rFont val="Times New Roman"/>
        <family val="1"/>
        <charset val="204"/>
      </rPr>
      <t xml:space="preserve"> – электронные закупки способом открытого тендера с применением торгов на понижение;</t>
    </r>
  </si>
  <si>
    <t>шкаф для одежды, размеры 2000*400*500, цвет "венге" и "дуб беленный" с зеркалом</t>
  </si>
  <si>
    <t>киімге арналған шкаф, көлемі 2000*400*500, түсі "венге" мен "дуб беленный" айнамен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</si>
  <si>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</si>
  <si>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</si>
  <si>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</si>
  <si>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</si>
  <si>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</si>
  <si>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</si>
  <si>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</si>
  <si>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</si>
  <si>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</si>
  <si>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</si>
  <si>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</si>
  <si>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</si>
  <si>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</si>
  <si>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</si>
  <si>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</si>
  <si>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</si>
  <si>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</si>
  <si>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</si>
  <si>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</si>
  <si>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</si>
  <si>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</si>
  <si>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</si>
  <si>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</si>
  <si>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</si>
  <si>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</si>
  <si>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</si>
  <si>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</si>
  <si>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</si>
  <si>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</si>
  <si>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</si>
  <si>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</si>
  <si>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</si>
  <si>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</si>
  <si>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</si>
  <si>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</si>
  <si>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</si>
  <si>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</si>
  <si>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</si>
  <si>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</si>
  <si>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</si>
  <si>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</si>
  <si>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</si>
  <si>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</si>
  <si>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</si>
  <si>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</si>
  <si>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</si>
  <si>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</si>
  <si>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</si>
  <si>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</si>
  <si>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</si>
  <si>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</si>
  <si>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</si>
  <si>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</si>
  <si>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</si>
  <si>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</si>
  <si>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</si>
  <si>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</si>
  <si>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</si>
  <si>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</si>
  <si>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</si>
  <si>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</si>
  <si>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</si>
  <si>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</si>
  <si>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</si>
  <si>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</si>
  <si>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</si>
  <si>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</si>
  <si>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</si>
  <si>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</si>
  <si>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</si>
  <si>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</si>
  <si>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</si>
  <si>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</si>
  <si>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</si>
  <si>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</si>
  <si>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</si>
  <si>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</si>
  <si>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</si>
  <si>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</si>
  <si>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</si>
  <si>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</si>
  <si>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</si>
  <si>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</si>
  <si>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2 У</t>
  </si>
  <si>
    <t>1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</si>
  <si>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</si>
  <si>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</si>
  <si>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</si>
  <si>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</si>
  <si>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</si>
  <si>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</si>
  <si>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</si>
  <si>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</si>
  <si>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</si>
  <si>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</si>
  <si>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</si>
  <si>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</si>
  <si>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</si>
  <si>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26.30.23.900.022.00.0796.000000000002</t>
  </si>
  <si>
    <t>Модуль маршрутизатора</t>
  </si>
  <si>
    <t>тип WI-FI</t>
  </si>
  <si>
    <t>85 Т</t>
  </si>
  <si>
    <t>Бағдарғылауыштың модулы</t>
  </si>
  <si>
    <t>WI-FI типі</t>
  </si>
  <si>
    <t>Switch, 8 порт, RJ-45 Ethernet 10/100/1000 Мбит/сек</t>
  </si>
  <si>
    <t>Тақтай</t>
  </si>
  <si>
    <t>ақпараттық, пластиктен жасалғаны</t>
  </si>
  <si>
    <t>Үстел шамы</t>
  </si>
  <si>
    <t>жергiлiктi жарықтандыру, үстелге қоятыны</t>
  </si>
  <si>
    <t>Перделер</t>
  </si>
  <si>
    <t>араласқан матадан, римдік</t>
  </si>
  <si>
    <t>халықаралық, мәлiмдемемен</t>
  </si>
  <si>
    <t>Қазақстан iшiнде</t>
  </si>
  <si>
    <t>Core i7/HDD  1Tb кем емес/ОЗУ 8Gb кем емес/видеокарта 2Gb кем емес, Windows операциялық жүйесімен,  23" кем емес СК монитормен</t>
  </si>
  <si>
    <t>Сore i5/HDD 500Gb кем емес/ОЗУ 4Gb кем емес, Windows операциялық жүйесімен,  23" кем емес СК монитормен</t>
  </si>
  <si>
    <t>Сore i5/HDD не менее 500Gb/ОЗУ не менее 4Gb, с  установленной операционной системой Windows, с ЖК монитором не менее 23"</t>
  </si>
  <si>
    <t>Сore i7/HDD не менее 1Tb/ОЗУ не менее 8Gb/видеокарта не менее 2Gb, с  установленной операционной системой Windows, с ЖК монитором не менее 23"</t>
  </si>
  <si>
    <t>көп функциялы, ағынды басып шығару, ажыратымдылығы 4800*1200 dpi</t>
  </si>
  <si>
    <t>Көп функциялы құрылғы: принтер/копир/сканер, А4 форматы, Canon MF212</t>
  </si>
  <si>
    <t>Черно-белое многофункциональное устройство: принтер/копир/сканер, формат А4, Canon MF212</t>
  </si>
  <si>
    <t>13-1 У</t>
  </si>
  <si>
    <t>5-1 У</t>
  </si>
  <si>
    <t>изменения в графах: 20,21</t>
  </si>
  <si>
    <t>Утвержден приказом директора ТОО "Масальский ГОК" от  14 марта 2016 года № 12</t>
  </si>
  <si>
    <t>С изменениями и дополнениями от 11 апреля 2016 г. Приказ №15</t>
  </si>
  <si>
    <t>2-1 Т</t>
  </si>
  <si>
    <t>Сore i5/HDD не менее 500Gb/ОЗУ не менее 4Gb, с  установленной операционной системой Windows с ЖК монитором не менее 21,5"</t>
  </si>
  <si>
    <t>Сore i5/HDD 500Gb кем емес/ОЗУ 4Gb кем емес, Windows операциялық жүйесімен,  21,5" кем емес СК монитормен</t>
  </si>
  <si>
    <t>3-1 Т</t>
  </si>
  <si>
    <t>Сore i7/HDD не менее 1Tb/ОЗУ не менее 8Gb/видеокарта не менее 1Gb, с  установленной операционной системой Windows с ЖК монитором не менее 21,5"</t>
  </si>
  <si>
    <t>Core i7/HDD  1Tb кем емес/ОЗУ 8Gb кем емес/видеокарта 1Gb кем емес, Windows операциялық жүйесімен,  21,5" кем емес СК монитормен</t>
  </si>
  <si>
    <t>ТПХ</t>
  </si>
  <si>
    <t>изменения в графах: 6,6а,8,11,15 и 22</t>
  </si>
  <si>
    <t>май</t>
  </si>
  <si>
    <t>86 Т</t>
  </si>
  <si>
    <t>26.52.14.500.000.00.0796.000000000000</t>
  </si>
  <si>
    <t>Часы</t>
  </si>
  <si>
    <t>настенные, неэлектрические</t>
  </si>
  <si>
    <t>87 Т</t>
  </si>
  <si>
    <t>27.20.11.900.003.00.0778.000000000005</t>
  </si>
  <si>
    <t>Батарейка</t>
  </si>
  <si>
    <t>тип АА</t>
  </si>
  <si>
    <t>Батарейки DURACELL AA Turbo (4 шт)</t>
  </si>
  <si>
    <t>Сағат</t>
  </si>
  <si>
    <t>қабырға, электрлiк емес</t>
  </si>
  <si>
    <t>АА типы</t>
  </si>
  <si>
    <t>DURACELL AA Turbo батарея (4 дан.)</t>
  </si>
  <si>
    <t>часы настенные, для кабинетов сотрудников</t>
  </si>
  <si>
    <t>сағат қабырға, қызметкерлердiң кабинеттерi үшiн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</si>
</sst>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;#,##\-0;&quot;-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1"/>
  <sheetViews>
    <sheetView tabSelected="1" view="pageBreakPreview" topLeftCell="D1" zoomScale="70" zoomScaleNormal="100" zoomScaleSheetLayoutView="70" workbookViewId="0">
      <pane ySplit="4" topLeftCell="A5" activePane="bottomLeft" state="frozen"/>
      <selection activeCell="R1" sqref="R1"/>
      <selection pane="bottomLeft" activeCell="F8" sqref="F8"/>
    </sheetView>
  </sheetViews>
  <sheetFormatPr defaultColWidth="19.28515625" defaultRowHeight="12.75" x14ac:dyDescent="0.25"/>
  <cols>
    <col min="1" max="2" width="19.28515625" style="26"/>
    <col min="3" max="3" width="45.140625" style="26" customWidth="1"/>
    <col min="4" max="4" width="34.5703125" style="26" customWidth="1"/>
    <col min="5" max="5" width="35.7109375" style="26" customWidth="1"/>
    <col min="6" max="6" width="40.7109375" style="26" customWidth="1"/>
    <col min="7" max="9" width="38.140625" style="26" customWidth="1"/>
    <col min="10" max="16" width="19.28515625" style="26"/>
    <col min="17" max="17" width="21.140625" style="26" customWidth="1"/>
    <col min="18" max="23" width="19.28515625" style="26"/>
    <col min="24" max="24" width="24.140625" style="26" customWidth="1"/>
    <col min="25" max="16384" width="19.28515625" style="26"/>
  </cols>
  <sheetData>
    <row r="1" spans="1:27" ht="12.75" customHeight="1" x14ac:dyDescent="0.25">
      <c r="V1" s="6"/>
      <c r="W1" s="7"/>
      <c r="X1" s="6" t="s">
        <v>690</v>
      </c>
      <c r="Y1" s="7"/>
      <c r="Z1" s="7"/>
      <c r="AA1" s="7"/>
    </row>
    <row r="2" spans="1:27" ht="12.75" customHeight="1" x14ac:dyDescent="0.25">
      <c r="A2" s="7"/>
      <c r="B2" s="7"/>
      <c r="C2" s="7"/>
      <c r="D2" s="7"/>
      <c r="E2" s="6" t="s">
        <v>410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6" t="s">
        <v>691</v>
      </c>
      <c r="Y2" s="7"/>
      <c r="Z2" s="7"/>
      <c r="AA2" s="7"/>
    </row>
    <row r="3" spans="1:27" x14ac:dyDescent="0.25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8"/>
      <c r="X3" s="9"/>
      <c r="Y3" s="8"/>
    </row>
    <row r="4" spans="1:27" ht="81.7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</row>
    <row r="5" spans="1:27" ht="13.5" x14ac:dyDescent="0.25">
      <c r="A5" s="11">
        <v>1</v>
      </c>
      <c r="B5" s="11">
        <v>2</v>
      </c>
      <c r="C5" s="11">
        <v>3</v>
      </c>
      <c r="D5" s="11">
        <v>4</v>
      </c>
      <c r="E5" s="11" t="s">
        <v>27</v>
      </c>
      <c r="F5" s="11">
        <v>5</v>
      </c>
      <c r="G5" s="11" t="s">
        <v>28</v>
      </c>
      <c r="H5" s="11">
        <v>6</v>
      </c>
      <c r="I5" s="11" t="s">
        <v>29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  <c r="S5" s="11">
        <v>16</v>
      </c>
      <c r="T5" s="11">
        <v>17</v>
      </c>
      <c r="U5" s="11">
        <v>18</v>
      </c>
      <c r="V5" s="11">
        <v>19</v>
      </c>
      <c r="W5" s="11">
        <v>20</v>
      </c>
      <c r="X5" s="11">
        <v>21</v>
      </c>
      <c r="Y5" s="11">
        <v>22</v>
      </c>
      <c r="Z5" s="11">
        <v>23</v>
      </c>
      <c r="AA5" s="11">
        <v>24</v>
      </c>
    </row>
    <row r="6" spans="1:27" s="12" customFormat="1" x14ac:dyDescent="0.2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1:27" ht="30" customHeight="1" x14ac:dyDescent="0.25">
      <c r="A7" s="1" t="s">
        <v>567</v>
      </c>
      <c r="B7" s="2" t="s">
        <v>31</v>
      </c>
      <c r="C7" s="2" t="s">
        <v>32</v>
      </c>
      <c r="D7" s="21" t="s">
        <v>33</v>
      </c>
      <c r="E7" s="21" t="s">
        <v>33</v>
      </c>
      <c r="F7" s="2" t="s">
        <v>34</v>
      </c>
      <c r="G7" s="2" t="s">
        <v>35</v>
      </c>
      <c r="H7" s="1" t="s">
        <v>411</v>
      </c>
      <c r="I7" s="1" t="s">
        <v>412</v>
      </c>
      <c r="J7" s="1" t="s">
        <v>49</v>
      </c>
      <c r="K7" s="3">
        <v>0</v>
      </c>
      <c r="L7" s="1">
        <v>710000000</v>
      </c>
      <c r="M7" s="1" t="s">
        <v>37</v>
      </c>
      <c r="N7" s="1" t="s">
        <v>38</v>
      </c>
      <c r="O7" s="1" t="s">
        <v>39</v>
      </c>
      <c r="P7" s="1" t="s">
        <v>40</v>
      </c>
      <c r="Q7" s="1" t="s">
        <v>41</v>
      </c>
      <c r="R7" s="1" t="s">
        <v>42</v>
      </c>
      <c r="S7" s="1">
        <v>796</v>
      </c>
      <c r="T7" s="1" t="s">
        <v>43</v>
      </c>
      <c r="U7" s="4">
        <v>1</v>
      </c>
      <c r="V7" s="13">
        <f>375000/1.12</f>
        <v>334821.42857142852</v>
      </c>
      <c r="W7" s="13">
        <f t="shared" ref="W7:W12" si="0">U7*V7</f>
        <v>334821.42857142852</v>
      </c>
      <c r="X7" s="13">
        <f t="shared" ref="X7:X12" si="1">W7*1.12</f>
        <v>375000</v>
      </c>
      <c r="Y7" s="1"/>
      <c r="Z7" s="1">
        <v>2016</v>
      </c>
      <c r="AA7" s="1"/>
    </row>
    <row r="8" spans="1:27" ht="51" x14ac:dyDescent="0.25">
      <c r="A8" s="1" t="s">
        <v>568</v>
      </c>
      <c r="B8" s="2" t="s">
        <v>31</v>
      </c>
      <c r="C8" s="2" t="s">
        <v>473</v>
      </c>
      <c r="D8" s="21" t="s">
        <v>33</v>
      </c>
      <c r="E8" s="21" t="s">
        <v>33</v>
      </c>
      <c r="F8" s="2" t="s">
        <v>474</v>
      </c>
      <c r="G8" s="2" t="s">
        <v>475</v>
      </c>
      <c r="H8" s="1" t="s">
        <v>693</v>
      </c>
      <c r="I8" s="1" t="s">
        <v>694</v>
      </c>
      <c r="J8" s="1" t="s">
        <v>36</v>
      </c>
      <c r="K8" s="3">
        <v>0</v>
      </c>
      <c r="L8" s="1">
        <v>710000000</v>
      </c>
      <c r="M8" s="1" t="s">
        <v>37</v>
      </c>
      <c r="N8" s="1" t="s">
        <v>38</v>
      </c>
      <c r="O8" s="1" t="s">
        <v>39</v>
      </c>
      <c r="P8" s="1" t="s">
        <v>40</v>
      </c>
      <c r="Q8" s="1" t="s">
        <v>41</v>
      </c>
      <c r="R8" s="1" t="s">
        <v>42</v>
      </c>
      <c r="S8" s="1">
        <v>796</v>
      </c>
      <c r="T8" s="1" t="s">
        <v>43</v>
      </c>
      <c r="U8" s="4">
        <v>14</v>
      </c>
      <c r="V8" s="13">
        <v>0</v>
      </c>
      <c r="W8" s="13">
        <f t="shared" si="0"/>
        <v>0</v>
      </c>
      <c r="X8" s="13">
        <f t="shared" si="1"/>
        <v>0</v>
      </c>
      <c r="Y8" s="1"/>
      <c r="Z8" s="1">
        <v>2016</v>
      </c>
      <c r="AA8" s="23"/>
    </row>
    <row r="9" spans="1:27" ht="51" x14ac:dyDescent="0.25">
      <c r="A9" s="1" t="s">
        <v>692</v>
      </c>
      <c r="B9" s="2" t="s">
        <v>31</v>
      </c>
      <c r="C9" s="2" t="s">
        <v>473</v>
      </c>
      <c r="D9" s="21" t="s">
        <v>33</v>
      </c>
      <c r="E9" s="21" t="s">
        <v>33</v>
      </c>
      <c r="F9" s="2" t="s">
        <v>474</v>
      </c>
      <c r="G9" s="2" t="s">
        <v>475</v>
      </c>
      <c r="H9" s="1" t="s">
        <v>682</v>
      </c>
      <c r="I9" s="1" t="s">
        <v>681</v>
      </c>
      <c r="J9" s="1" t="s">
        <v>36</v>
      </c>
      <c r="K9" s="3">
        <v>0.2</v>
      </c>
      <c r="L9" s="1">
        <v>710000000</v>
      </c>
      <c r="M9" s="1" t="s">
        <v>37</v>
      </c>
      <c r="N9" s="1" t="s">
        <v>450</v>
      </c>
      <c r="O9" s="1" t="s">
        <v>39</v>
      </c>
      <c r="P9" s="1" t="s">
        <v>40</v>
      </c>
      <c r="Q9" s="1" t="s">
        <v>41</v>
      </c>
      <c r="R9" s="3" t="s">
        <v>82</v>
      </c>
      <c r="S9" s="1">
        <v>796</v>
      </c>
      <c r="T9" s="1" t="s">
        <v>43</v>
      </c>
      <c r="U9" s="4">
        <v>14</v>
      </c>
      <c r="V9" s="13">
        <f>287500/1.12</f>
        <v>256696.42857142855</v>
      </c>
      <c r="W9" s="13">
        <f t="shared" si="0"/>
        <v>3593749.9999999995</v>
      </c>
      <c r="X9" s="13">
        <f t="shared" si="1"/>
        <v>4025000</v>
      </c>
      <c r="Y9" s="1" t="s">
        <v>698</v>
      </c>
      <c r="Z9" s="1">
        <v>2016</v>
      </c>
      <c r="AA9" s="23" t="s">
        <v>699</v>
      </c>
    </row>
    <row r="10" spans="1:27" ht="51" x14ac:dyDescent="0.25">
      <c r="A10" s="1" t="s">
        <v>569</v>
      </c>
      <c r="B10" s="2" t="s">
        <v>31</v>
      </c>
      <c r="C10" s="2" t="s">
        <v>476</v>
      </c>
      <c r="D10" s="21" t="s">
        <v>33</v>
      </c>
      <c r="E10" s="21" t="s">
        <v>33</v>
      </c>
      <c r="F10" s="2" t="s">
        <v>477</v>
      </c>
      <c r="G10" s="2" t="s">
        <v>478</v>
      </c>
      <c r="H10" s="1" t="s">
        <v>696</v>
      </c>
      <c r="I10" s="1" t="s">
        <v>697</v>
      </c>
      <c r="J10" s="1" t="s">
        <v>36</v>
      </c>
      <c r="K10" s="3">
        <v>0</v>
      </c>
      <c r="L10" s="1">
        <v>710000000</v>
      </c>
      <c r="M10" s="1" t="s">
        <v>37</v>
      </c>
      <c r="N10" s="1" t="s">
        <v>450</v>
      </c>
      <c r="O10" s="1" t="s">
        <v>39</v>
      </c>
      <c r="P10" s="1" t="s">
        <v>40</v>
      </c>
      <c r="Q10" s="1" t="s">
        <v>41</v>
      </c>
      <c r="R10" s="1" t="s">
        <v>42</v>
      </c>
      <c r="S10" s="1">
        <v>796</v>
      </c>
      <c r="T10" s="1" t="s">
        <v>43</v>
      </c>
      <c r="U10" s="4">
        <v>2</v>
      </c>
      <c r="V10" s="13">
        <v>0</v>
      </c>
      <c r="W10" s="13">
        <f t="shared" si="0"/>
        <v>0</v>
      </c>
      <c r="X10" s="13">
        <f t="shared" si="1"/>
        <v>0</v>
      </c>
      <c r="Y10" s="1"/>
      <c r="Z10" s="1">
        <v>2016</v>
      </c>
      <c r="AA10" s="1"/>
    </row>
    <row r="11" spans="1:27" ht="51" x14ac:dyDescent="0.25">
      <c r="A11" s="1" t="s">
        <v>695</v>
      </c>
      <c r="B11" s="2" t="s">
        <v>31</v>
      </c>
      <c r="C11" s="2" t="s">
        <v>476</v>
      </c>
      <c r="D11" s="21" t="s">
        <v>33</v>
      </c>
      <c r="E11" s="21" t="s">
        <v>33</v>
      </c>
      <c r="F11" s="2" t="s">
        <v>477</v>
      </c>
      <c r="G11" s="2" t="s">
        <v>478</v>
      </c>
      <c r="H11" s="1" t="s">
        <v>683</v>
      </c>
      <c r="I11" s="1" t="s">
        <v>680</v>
      </c>
      <c r="J11" s="1" t="s">
        <v>36</v>
      </c>
      <c r="K11" s="3">
        <v>0.2</v>
      </c>
      <c r="L11" s="1">
        <v>710000000</v>
      </c>
      <c r="M11" s="1" t="s">
        <v>37</v>
      </c>
      <c r="N11" s="1" t="s">
        <v>450</v>
      </c>
      <c r="O11" s="1" t="s">
        <v>39</v>
      </c>
      <c r="P11" s="1" t="s">
        <v>40</v>
      </c>
      <c r="Q11" s="1" t="s">
        <v>41</v>
      </c>
      <c r="R11" s="3" t="s">
        <v>82</v>
      </c>
      <c r="S11" s="1">
        <v>796</v>
      </c>
      <c r="T11" s="1" t="s">
        <v>43</v>
      </c>
      <c r="U11" s="4">
        <v>2</v>
      </c>
      <c r="V11" s="13">
        <f>350000/1.12</f>
        <v>312499.99999999994</v>
      </c>
      <c r="W11" s="13">
        <f t="shared" si="0"/>
        <v>624999.99999999988</v>
      </c>
      <c r="X11" s="13">
        <f t="shared" si="1"/>
        <v>699999.99999999988</v>
      </c>
      <c r="Y11" s="1" t="s">
        <v>698</v>
      </c>
      <c r="Z11" s="1">
        <v>2016</v>
      </c>
      <c r="AA11" s="23" t="s">
        <v>699</v>
      </c>
    </row>
    <row r="12" spans="1:27" ht="63.75" x14ac:dyDescent="0.25">
      <c r="A12" s="1" t="s">
        <v>570</v>
      </c>
      <c r="B12" s="2" t="s">
        <v>31</v>
      </c>
      <c r="C12" s="2" t="s">
        <v>44</v>
      </c>
      <c r="D12" s="1" t="s">
        <v>45</v>
      </c>
      <c r="E12" s="1" t="s">
        <v>46</v>
      </c>
      <c r="F12" s="1" t="s">
        <v>47</v>
      </c>
      <c r="G12" s="1" t="s">
        <v>48</v>
      </c>
      <c r="H12" s="1" t="s">
        <v>50</v>
      </c>
      <c r="I12" s="1"/>
      <c r="J12" s="1" t="s">
        <v>36</v>
      </c>
      <c r="K12" s="3">
        <v>0</v>
      </c>
      <c r="L12" s="1">
        <v>710000000</v>
      </c>
      <c r="M12" s="1" t="s">
        <v>37</v>
      </c>
      <c r="N12" s="1" t="s">
        <v>38</v>
      </c>
      <c r="O12" s="1" t="s">
        <v>39</v>
      </c>
      <c r="P12" s="1" t="s">
        <v>40</v>
      </c>
      <c r="Q12" s="1" t="s">
        <v>41</v>
      </c>
      <c r="R12" s="1" t="s">
        <v>42</v>
      </c>
      <c r="S12" s="1">
        <v>796</v>
      </c>
      <c r="T12" s="1" t="s">
        <v>43</v>
      </c>
      <c r="U12" s="4">
        <v>17</v>
      </c>
      <c r="V12" s="13">
        <v>66964.289999999994</v>
      </c>
      <c r="W12" s="13">
        <f t="shared" si="0"/>
        <v>1138392.93</v>
      </c>
      <c r="X12" s="13">
        <f t="shared" si="1"/>
        <v>1275000.0816000002</v>
      </c>
      <c r="Y12" s="1"/>
      <c r="Z12" s="1">
        <v>2016</v>
      </c>
      <c r="AA12" s="1"/>
    </row>
    <row r="13" spans="1:27" ht="66.75" customHeight="1" x14ac:dyDescent="0.25">
      <c r="A13" s="1" t="s">
        <v>571</v>
      </c>
      <c r="B13" s="2" t="s">
        <v>31</v>
      </c>
      <c r="C13" s="2" t="s">
        <v>44</v>
      </c>
      <c r="D13" s="1" t="s">
        <v>45</v>
      </c>
      <c r="E13" s="1" t="s">
        <v>46</v>
      </c>
      <c r="F13" s="1" t="s">
        <v>47</v>
      </c>
      <c r="G13" s="1" t="s">
        <v>48</v>
      </c>
      <c r="H13" s="1" t="s">
        <v>51</v>
      </c>
      <c r="I13" s="1" t="s">
        <v>52</v>
      </c>
      <c r="J13" s="1" t="s">
        <v>36</v>
      </c>
      <c r="K13" s="3">
        <v>0</v>
      </c>
      <c r="L13" s="1">
        <v>710000000</v>
      </c>
      <c r="M13" s="1" t="s">
        <v>37</v>
      </c>
      <c r="N13" s="1" t="s">
        <v>38</v>
      </c>
      <c r="O13" s="1" t="s">
        <v>39</v>
      </c>
      <c r="P13" s="1" t="s">
        <v>40</v>
      </c>
      <c r="Q13" s="1" t="s">
        <v>41</v>
      </c>
      <c r="R13" s="1" t="s">
        <v>42</v>
      </c>
      <c r="S13" s="1">
        <v>796</v>
      </c>
      <c r="T13" s="1" t="s">
        <v>43</v>
      </c>
      <c r="U13" s="4">
        <v>17</v>
      </c>
      <c r="V13" s="13">
        <v>9821.43</v>
      </c>
      <c r="W13" s="13">
        <f t="shared" ref="W13:W88" si="2">U13*V13</f>
        <v>166964.31</v>
      </c>
      <c r="X13" s="13">
        <f t="shared" ref="X13:X88" si="3">W13*1.12</f>
        <v>187000.02720000001</v>
      </c>
      <c r="Y13" s="1"/>
      <c r="Z13" s="1">
        <v>2016</v>
      </c>
      <c r="AA13" s="1"/>
    </row>
    <row r="14" spans="1:27" ht="51" x14ac:dyDescent="0.25">
      <c r="A14" s="1" t="s">
        <v>572</v>
      </c>
      <c r="B14" s="2" t="s">
        <v>31</v>
      </c>
      <c r="C14" s="2" t="s">
        <v>44</v>
      </c>
      <c r="D14" s="1" t="s">
        <v>45</v>
      </c>
      <c r="E14" s="1" t="s">
        <v>46</v>
      </c>
      <c r="F14" s="1" t="s">
        <v>47</v>
      </c>
      <c r="G14" s="1" t="s">
        <v>48</v>
      </c>
      <c r="H14" s="1" t="s">
        <v>53</v>
      </c>
      <c r="I14" s="1" t="s">
        <v>54</v>
      </c>
      <c r="J14" s="1" t="s">
        <v>49</v>
      </c>
      <c r="K14" s="3">
        <v>1</v>
      </c>
      <c r="L14" s="1">
        <v>710000000</v>
      </c>
      <c r="M14" s="1" t="s">
        <v>37</v>
      </c>
      <c r="N14" s="1" t="s">
        <v>38</v>
      </c>
      <c r="O14" s="1" t="s">
        <v>39</v>
      </c>
      <c r="P14" s="1" t="s">
        <v>40</v>
      </c>
      <c r="Q14" s="1" t="s">
        <v>41</v>
      </c>
      <c r="R14" s="1" t="s">
        <v>42</v>
      </c>
      <c r="S14" s="1">
        <v>796</v>
      </c>
      <c r="T14" s="1" t="s">
        <v>43</v>
      </c>
      <c r="U14" s="4">
        <v>1</v>
      </c>
      <c r="V14" s="13">
        <v>862500</v>
      </c>
      <c r="W14" s="13">
        <f>U14*V14</f>
        <v>862500</v>
      </c>
      <c r="X14" s="13">
        <f t="shared" ref="X14:X19" si="4">W14*1.12</f>
        <v>966000.00000000012</v>
      </c>
      <c r="Y14" s="1"/>
      <c r="Z14" s="1">
        <v>2016</v>
      </c>
      <c r="AA14" s="1"/>
    </row>
    <row r="15" spans="1:27" ht="38.25" x14ac:dyDescent="0.25">
      <c r="A15" s="1" t="s">
        <v>573</v>
      </c>
      <c r="B15" s="2" t="s">
        <v>31</v>
      </c>
      <c r="C15" s="2" t="s">
        <v>521</v>
      </c>
      <c r="D15" s="2" t="s">
        <v>55</v>
      </c>
      <c r="E15" s="2" t="s">
        <v>56</v>
      </c>
      <c r="F15" s="2" t="s">
        <v>522</v>
      </c>
      <c r="G15" s="2" t="s">
        <v>523</v>
      </c>
      <c r="H15" s="1" t="s">
        <v>686</v>
      </c>
      <c r="I15" s="1" t="s">
        <v>685</v>
      </c>
      <c r="J15" s="1" t="s">
        <v>36</v>
      </c>
      <c r="K15" s="3">
        <v>0</v>
      </c>
      <c r="L15" s="1">
        <v>710000000</v>
      </c>
      <c r="M15" s="1" t="s">
        <v>37</v>
      </c>
      <c r="N15" s="1" t="s">
        <v>450</v>
      </c>
      <c r="O15" s="1" t="s">
        <v>39</v>
      </c>
      <c r="P15" s="1" t="s">
        <v>40</v>
      </c>
      <c r="Q15" s="1" t="s">
        <v>102</v>
      </c>
      <c r="R15" s="1" t="s">
        <v>42</v>
      </c>
      <c r="S15" s="1" t="s">
        <v>57</v>
      </c>
      <c r="T15" s="2" t="s">
        <v>58</v>
      </c>
      <c r="U15" s="4">
        <v>3</v>
      </c>
      <c r="V15" s="13">
        <f>70000/1.12</f>
        <v>62499.999999999993</v>
      </c>
      <c r="W15" s="13">
        <f t="shared" si="2"/>
        <v>187499.99999999997</v>
      </c>
      <c r="X15" s="13">
        <f t="shared" si="4"/>
        <v>210000</v>
      </c>
      <c r="Y15" s="1"/>
      <c r="Z15" s="1">
        <v>2016</v>
      </c>
      <c r="AA15" s="1"/>
    </row>
    <row r="16" spans="1:27" ht="38.25" x14ac:dyDescent="0.25">
      <c r="A16" s="1" t="s">
        <v>574</v>
      </c>
      <c r="B16" s="2" t="s">
        <v>31</v>
      </c>
      <c r="C16" s="2" t="s">
        <v>524</v>
      </c>
      <c r="D16" s="2" t="s">
        <v>55</v>
      </c>
      <c r="E16" s="2" t="s">
        <v>56</v>
      </c>
      <c r="F16" s="2" t="s">
        <v>525</v>
      </c>
      <c r="G16" s="2" t="s">
        <v>684</v>
      </c>
      <c r="H16" s="1" t="s">
        <v>526</v>
      </c>
      <c r="I16" s="1" t="s">
        <v>527</v>
      </c>
      <c r="J16" s="1" t="s">
        <v>36</v>
      </c>
      <c r="K16" s="3">
        <v>0</v>
      </c>
      <c r="L16" s="1">
        <v>710000000</v>
      </c>
      <c r="M16" s="1" t="s">
        <v>37</v>
      </c>
      <c r="N16" s="1" t="s">
        <v>450</v>
      </c>
      <c r="O16" s="1" t="s">
        <v>39</v>
      </c>
      <c r="P16" s="1" t="s">
        <v>40</v>
      </c>
      <c r="Q16" s="1" t="s">
        <v>102</v>
      </c>
      <c r="R16" s="1" t="s">
        <v>42</v>
      </c>
      <c r="S16" s="1" t="s">
        <v>57</v>
      </c>
      <c r="T16" s="2" t="s">
        <v>58</v>
      </c>
      <c r="U16" s="4">
        <v>1</v>
      </c>
      <c r="V16" s="13">
        <v>175000</v>
      </c>
      <c r="W16" s="13">
        <f>U16*V16</f>
        <v>175000</v>
      </c>
      <c r="X16" s="13">
        <f t="shared" si="4"/>
        <v>196000.00000000003</v>
      </c>
      <c r="Y16" s="1"/>
      <c r="Z16" s="1">
        <v>2016</v>
      </c>
      <c r="AA16" s="1"/>
    </row>
    <row r="17" spans="1:27" ht="38.25" x14ac:dyDescent="0.25">
      <c r="A17" s="1" t="s">
        <v>575</v>
      </c>
      <c r="B17" s="2" t="s">
        <v>31</v>
      </c>
      <c r="C17" s="2" t="s">
        <v>515</v>
      </c>
      <c r="D17" s="2" t="s">
        <v>514</v>
      </c>
      <c r="E17" s="2" t="s">
        <v>519</v>
      </c>
      <c r="F17" s="2" t="s">
        <v>516</v>
      </c>
      <c r="G17" s="2" t="s">
        <v>520</v>
      </c>
      <c r="H17" s="1"/>
      <c r="I17" s="1"/>
      <c r="J17" s="1" t="s">
        <v>36</v>
      </c>
      <c r="K17" s="3">
        <v>0</v>
      </c>
      <c r="L17" s="1">
        <v>710000000</v>
      </c>
      <c r="M17" s="1" t="s">
        <v>37</v>
      </c>
      <c r="N17" s="1" t="s">
        <v>450</v>
      </c>
      <c r="O17" s="1" t="s">
        <v>39</v>
      </c>
      <c r="P17" s="1" t="s">
        <v>40</v>
      </c>
      <c r="Q17" s="1" t="s">
        <v>102</v>
      </c>
      <c r="R17" s="1" t="s">
        <v>42</v>
      </c>
      <c r="S17" s="1" t="s">
        <v>57</v>
      </c>
      <c r="T17" s="2" t="s">
        <v>58</v>
      </c>
      <c r="U17" s="4">
        <v>4</v>
      </c>
      <c r="V17" s="13">
        <f>35000/1.12</f>
        <v>31249.999999999996</v>
      </c>
      <c r="W17" s="13">
        <f>U17*V17</f>
        <v>124999.99999999999</v>
      </c>
      <c r="X17" s="13">
        <f t="shared" si="4"/>
        <v>140000</v>
      </c>
      <c r="Y17" s="1"/>
      <c r="Z17" s="1">
        <v>2016</v>
      </c>
      <c r="AA17" s="1"/>
    </row>
    <row r="18" spans="1:27" ht="25.5" x14ac:dyDescent="0.25">
      <c r="A18" s="1" t="s">
        <v>576</v>
      </c>
      <c r="B18" s="2" t="s">
        <v>31</v>
      </c>
      <c r="C18" s="2" t="s">
        <v>435</v>
      </c>
      <c r="D18" s="1" t="s">
        <v>436</v>
      </c>
      <c r="E18" s="2" t="s">
        <v>437</v>
      </c>
      <c r="F18" s="2" t="s">
        <v>137</v>
      </c>
      <c r="G18" s="2" t="s">
        <v>138</v>
      </c>
      <c r="H18" s="1" t="s">
        <v>518</v>
      </c>
      <c r="I18" s="1"/>
      <c r="J18" s="1" t="s">
        <v>36</v>
      </c>
      <c r="K18" s="3">
        <v>0</v>
      </c>
      <c r="L18" s="1">
        <v>710000000</v>
      </c>
      <c r="M18" s="1" t="s">
        <v>37</v>
      </c>
      <c r="N18" s="1" t="s">
        <v>450</v>
      </c>
      <c r="O18" s="1" t="s">
        <v>39</v>
      </c>
      <c r="P18" s="1" t="s">
        <v>40</v>
      </c>
      <c r="Q18" s="1" t="s">
        <v>102</v>
      </c>
      <c r="R18" s="1" t="s">
        <v>42</v>
      </c>
      <c r="S18" s="1" t="s">
        <v>57</v>
      </c>
      <c r="T18" s="2" t="s">
        <v>58</v>
      </c>
      <c r="U18" s="4">
        <v>8</v>
      </c>
      <c r="V18" s="13">
        <f>6000/1.12</f>
        <v>5357.1428571428569</v>
      </c>
      <c r="W18" s="13">
        <f>U18*V18</f>
        <v>42857.142857142855</v>
      </c>
      <c r="X18" s="13">
        <f t="shared" si="4"/>
        <v>48000</v>
      </c>
      <c r="Y18" s="1"/>
      <c r="Z18" s="1">
        <v>2016</v>
      </c>
      <c r="AA18" s="1"/>
    </row>
    <row r="19" spans="1:27" ht="25.5" x14ac:dyDescent="0.25">
      <c r="A19" s="1" t="s">
        <v>577</v>
      </c>
      <c r="B19" s="2" t="s">
        <v>31</v>
      </c>
      <c r="C19" s="2" t="s">
        <v>435</v>
      </c>
      <c r="D19" s="1" t="s">
        <v>436</v>
      </c>
      <c r="E19" s="2" t="s">
        <v>437</v>
      </c>
      <c r="F19" s="2" t="s">
        <v>137</v>
      </c>
      <c r="G19" s="2" t="s">
        <v>138</v>
      </c>
      <c r="H19" s="1" t="s">
        <v>517</v>
      </c>
      <c r="I19" s="1"/>
      <c r="J19" s="1" t="s">
        <v>36</v>
      </c>
      <c r="K19" s="3">
        <v>0</v>
      </c>
      <c r="L19" s="1">
        <v>710000000</v>
      </c>
      <c r="M19" s="1" t="s">
        <v>37</v>
      </c>
      <c r="N19" s="1" t="s">
        <v>102</v>
      </c>
      <c r="O19" s="1" t="s">
        <v>39</v>
      </c>
      <c r="P19" s="1" t="s">
        <v>40</v>
      </c>
      <c r="Q19" s="1" t="s">
        <v>41</v>
      </c>
      <c r="R19" s="1" t="s">
        <v>42</v>
      </c>
      <c r="S19" s="2" t="s">
        <v>57</v>
      </c>
      <c r="T19" s="2" t="s">
        <v>58</v>
      </c>
      <c r="U19" s="4">
        <v>6</v>
      </c>
      <c r="V19" s="13">
        <f>17000/1.12</f>
        <v>15178.571428571428</v>
      </c>
      <c r="W19" s="13">
        <f>U19*V19</f>
        <v>91071.428571428565</v>
      </c>
      <c r="X19" s="13">
        <f t="shared" si="4"/>
        <v>102000</v>
      </c>
      <c r="Y19" s="1"/>
      <c r="Z19" s="1">
        <v>2016</v>
      </c>
      <c r="AA19" s="1"/>
    </row>
    <row r="20" spans="1:27" ht="40.5" customHeight="1" x14ac:dyDescent="0.25">
      <c r="A20" s="1" t="s">
        <v>578</v>
      </c>
      <c r="B20" s="2" t="s">
        <v>31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63</v>
      </c>
      <c r="H20" s="1" t="s">
        <v>60</v>
      </c>
      <c r="I20" s="2" t="s">
        <v>61</v>
      </c>
      <c r="J20" s="1" t="s">
        <v>36</v>
      </c>
      <c r="K20" s="3">
        <v>0</v>
      </c>
      <c r="L20" s="1">
        <v>710000000</v>
      </c>
      <c r="M20" s="1" t="s">
        <v>37</v>
      </c>
      <c r="N20" s="1" t="s">
        <v>38</v>
      </c>
      <c r="O20" s="1" t="s">
        <v>39</v>
      </c>
      <c r="P20" s="1" t="s">
        <v>40</v>
      </c>
      <c r="Q20" s="1" t="s">
        <v>41</v>
      </c>
      <c r="R20" s="1" t="s">
        <v>42</v>
      </c>
      <c r="S20" s="1" t="s">
        <v>57</v>
      </c>
      <c r="T20" s="2" t="s">
        <v>58</v>
      </c>
      <c r="U20" s="4">
        <v>17</v>
      </c>
      <c r="V20" s="13">
        <f>26000/1.12</f>
        <v>23214.285714285714</v>
      </c>
      <c r="W20" s="13">
        <f t="shared" si="2"/>
        <v>394642.85714285716</v>
      </c>
      <c r="X20" s="13">
        <f t="shared" si="3"/>
        <v>442000.00000000006</v>
      </c>
      <c r="Y20" s="1"/>
      <c r="Z20" s="1">
        <v>2016</v>
      </c>
      <c r="AA20" s="1"/>
    </row>
    <row r="21" spans="1:27" ht="38.25" x14ac:dyDescent="0.25">
      <c r="A21" s="1" t="s">
        <v>579</v>
      </c>
      <c r="B21" s="2" t="s">
        <v>31</v>
      </c>
      <c r="C21" s="2" t="s">
        <v>529</v>
      </c>
      <c r="D21" s="2" t="s">
        <v>528</v>
      </c>
      <c r="E21" s="2" t="s">
        <v>532</v>
      </c>
      <c r="F21" s="2" t="s">
        <v>530</v>
      </c>
      <c r="G21" s="2" t="s">
        <v>533</v>
      </c>
      <c r="H21" s="1" t="s">
        <v>531</v>
      </c>
      <c r="I21" s="1" t="s">
        <v>534</v>
      </c>
      <c r="J21" s="1" t="s">
        <v>36</v>
      </c>
      <c r="K21" s="3">
        <v>0</v>
      </c>
      <c r="L21" s="1">
        <v>710000000</v>
      </c>
      <c r="M21" s="1" t="s">
        <v>37</v>
      </c>
      <c r="N21" s="1" t="s">
        <v>450</v>
      </c>
      <c r="O21" s="1" t="s">
        <v>39</v>
      </c>
      <c r="P21" s="1" t="s">
        <v>40</v>
      </c>
      <c r="Q21" s="1" t="s">
        <v>41</v>
      </c>
      <c r="R21" s="1" t="s">
        <v>42</v>
      </c>
      <c r="S21" s="1" t="s">
        <v>57</v>
      </c>
      <c r="T21" s="2" t="s">
        <v>58</v>
      </c>
      <c r="U21" s="4">
        <v>1</v>
      </c>
      <c r="V21" s="13">
        <f>120000/1.12</f>
        <v>107142.85714285713</v>
      </c>
      <c r="W21" s="13">
        <f t="shared" si="2"/>
        <v>107142.85714285713</v>
      </c>
      <c r="X21" s="13">
        <f t="shared" si="3"/>
        <v>120000</v>
      </c>
      <c r="Y21" s="1"/>
      <c r="Z21" s="1">
        <v>2016</v>
      </c>
      <c r="AA21" s="1"/>
    </row>
    <row r="22" spans="1:27" ht="38.25" x14ac:dyDescent="0.25">
      <c r="A22" s="1" t="s">
        <v>580</v>
      </c>
      <c r="B22" s="2" t="s">
        <v>31</v>
      </c>
      <c r="C22" s="2" t="s">
        <v>545</v>
      </c>
      <c r="D22" s="2" t="s">
        <v>528</v>
      </c>
      <c r="E22" s="2" t="s">
        <v>532</v>
      </c>
      <c r="F22" s="2" t="s">
        <v>546</v>
      </c>
      <c r="G22" s="2" t="s">
        <v>548</v>
      </c>
      <c r="H22" s="1" t="s">
        <v>547</v>
      </c>
      <c r="I22" s="1" t="s">
        <v>671</v>
      </c>
      <c r="J22" s="1" t="s">
        <v>49</v>
      </c>
      <c r="K22" s="3">
        <v>0</v>
      </c>
      <c r="L22" s="1">
        <v>710000000</v>
      </c>
      <c r="M22" s="1" t="s">
        <v>37</v>
      </c>
      <c r="N22" s="1" t="s">
        <v>450</v>
      </c>
      <c r="O22" s="1" t="s">
        <v>39</v>
      </c>
      <c r="P22" s="1" t="s">
        <v>40</v>
      </c>
      <c r="Q22" s="1" t="s">
        <v>41</v>
      </c>
      <c r="R22" s="1" t="s">
        <v>42</v>
      </c>
      <c r="S22" s="1" t="s">
        <v>57</v>
      </c>
      <c r="T22" s="2" t="s">
        <v>58</v>
      </c>
      <c r="U22" s="4">
        <v>2</v>
      </c>
      <c r="V22" s="13">
        <f>4100/1.12</f>
        <v>3660.7142857142853</v>
      </c>
      <c r="W22" s="13">
        <f t="shared" si="2"/>
        <v>7321.4285714285706</v>
      </c>
      <c r="X22" s="13">
        <f t="shared" si="3"/>
        <v>8200</v>
      </c>
      <c r="Y22" s="1"/>
      <c r="Z22" s="1">
        <v>2016</v>
      </c>
      <c r="AA22" s="1"/>
    </row>
    <row r="23" spans="1:27" ht="25.5" x14ac:dyDescent="0.25">
      <c r="A23" s="1" t="s">
        <v>581</v>
      </c>
      <c r="B23" s="2" t="s">
        <v>31</v>
      </c>
      <c r="C23" s="2" t="s">
        <v>665</v>
      </c>
      <c r="D23" s="2" t="s">
        <v>666</v>
      </c>
      <c r="E23" s="2" t="s">
        <v>669</v>
      </c>
      <c r="F23" s="2" t="s">
        <v>667</v>
      </c>
      <c r="G23" s="2" t="s">
        <v>670</v>
      </c>
      <c r="H23" s="1"/>
      <c r="I23" s="1"/>
      <c r="J23" s="1" t="s">
        <v>49</v>
      </c>
      <c r="K23" s="3">
        <v>0</v>
      </c>
      <c r="L23" s="1">
        <v>710000000</v>
      </c>
      <c r="M23" s="1" t="s">
        <v>37</v>
      </c>
      <c r="N23" s="1" t="s">
        <v>450</v>
      </c>
      <c r="O23" s="1" t="s">
        <v>39</v>
      </c>
      <c r="P23" s="1" t="s">
        <v>40</v>
      </c>
      <c r="Q23" s="1" t="s">
        <v>41</v>
      </c>
      <c r="R23" s="1" t="s">
        <v>42</v>
      </c>
      <c r="S23" s="1" t="s">
        <v>57</v>
      </c>
      <c r="T23" s="2" t="s">
        <v>58</v>
      </c>
      <c r="U23" s="4">
        <v>1</v>
      </c>
      <c r="V23" s="13">
        <f>48000/1.12</f>
        <v>42857.142857142855</v>
      </c>
      <c r="W23" s="13">
        <f t="shared" si="2"/>
        <v>42857.142857142855</v>
      </c>
      <c r="X23" s="13">
        <f t="shared" si="3"/>
        <v>48000</v>
      </c>
      <c r="Y23" s="1"/>
      <c r="Z23" s="1">
        <v>2016</v>
      </c>
      <c r="AA23" s="1"/>
    </row>
    <row r="24" spans="1:27" ht="25.5" x14ac:dyDescent="0.25">
      <c r="A24" s="1" t="s">
        <v>582</v>
      </c>
      <c r="B24" s="2" t="s">
        <v>31</v>
      </c>
      <c r="C24" s="2" t="s">
        <v>64</v>
      </c>
      <c r="D24" s="2" t="s">
        <v>65</v>
      </c>
      <c r="E24" s="2" t="s">
        <v>66</v>
      </c>
      <c r="F24" s="2" t="s">
        <v>67</v>
      </c>
      <c r="G24" s="2" t="s">
        <v>68</v>
      </c>
      <c r="H24" s="1" t="s">
        <v>69</v>
      </c>
      <c r="I24" s="1" t="s">
        <v>70</v>
      </c>
      <c r="J24" s="1" t="s">
        <v>49</v>
      </c>
      <c r="K24" s="3">
        <v>0</v>
      </c>
      <c r="L24" s="1">
        <v>710000000</v>
      </c>
      <c r="M24" s="1" t="s">
        <v>37</v>
      </c>
      <c r="N24" s="1" t="s">
        <v>450</v>
      </c>
      <c r="O24" s="1" t="s">
        <v>39</v>
      </c>
      <c r="P24" s="1" t="s">
        <v>40</v>
      </c>
      <c r="Q24" s="1" t="s">
        <v>41</v>
      </c>
      <c r="R24" s="1" t="s">
        <v>42</v>
      </c>
      <c r="S24" s="1" t="s">
        <v>71</v>
      </c>
      <c r="T24" s="2" t="s">
        <v>72</v>
      </c>
      <c r="U24" s="4">
        <v>100</v>
      </c>
      <c r="V24" s="13">
        <f>100/1.12</f>
        <v>89.285714285714278</v>
      </c>
      <c r="W24" s="13">
        <f t="shared" si="2"/>
        <v>8928.5714285714275</v>
      </c>
      <c r="X24" s="13">
        <f>W24*1.12</f>
        <v>10000</v>
      </c>
      <c r="Y24" s="1"/>
      <c r="Z24" s="1">
        <v>2016</v>
      </c>
      <c r="AA24" s="1"/>
    </row>
    <row r="25" spans="1:27" ht="25.5" x14ac:dyDescent="0.25">
      <c r="A25" s="1" t="s">
        <v>583</v>
      </c>
      <c r="B25" s="2" t="s">
        <v>31</v>
      </c>
      <c r="C25" s="2" t="s">
        <v>542</v>
      </c>
      <c r="D25" s="2" t="s">
        <v>65</v>
      </c>
      <c r="E25" s="2" t="s">
        <v>66</v>
      </c>
      <c r="F25" s="2" t="s">
        <v>543</v>
      </c>
      <c r="G25" s="2" t="s">
        <v>549</v>
      </c>
      <c r="H25" s="1" t="s">
        <v>544</v>
      </c>
      <c r="I25" s="1" t="s">
        <v>544</v>
      </c>
      <c r="J25" s="1" t="s">
        <v>49</v>
      </c>
      <c r="K25" s="3">
        <v>0</v>
      </c>
      <c r="L25" s="1">
        <v>710000000</v>
      </c>
      <c r="M25" s="1" t="s">
        <v>37</v>
      </c>
      <c r="N25" s="1" t="s">
        <v>450</v>
      </c>
      <c r="O25" s="1" t="s">
        <v>39</v>
      </c>
      <c r="P25" s="1" t="s">
        <v>40</v>
      </c>
      <c r="Q25" s="1" t="s">
        <v>41</v>
      </c>
      <c r="R25" s="1" t="s">
        <v>42</v>
      </c>
      <c r="S25" s="2" t="s">
        <v>57</v>
      </c>
      <c r="T25" s="2" t="s">
        <v>58</v>
      </c>
      <c r="U25" s="4">
        <v>30</v>
      </c>
      <c r="V25" s="13">
        <f>900/1.12</f>
        <v>803.57142857142844</v>
      </c>
      <c r="W25" s="13">
        <f t="shared" si="2"/>
        <v>24107.142857142855</v>
      </c>
      <c r="X25" s="13">
        <f>W25*1.12</f>
        <v>27000</v>
      </c>
      <c r="Y25" s="1"/>
      <c r="Z25" s="1">
        <v>2016</v>
      </c>
      <c r="AA25" s="1"/>
    </row>
    <row r="26" spans="1:27" ht="25.5" x14ac:dyDescent="0.25">
      <c r="A26" s="1" t="s">
        <v>584</v>
      </c>
      <c r="B26" s="2" t="s">
        <v>31</v>
      </c>
      <c r="C26" s="2" t="s">
        <v>540</v>
      </c>
      <c r="D26" s="2" t="s">
        <v>65</v>
      </c>
      <c r="E26" s="2" t="s">
        <v>66</v>
      </c>
      <c r="F26" s="2" t="s">
        <v>541</v>
      </c>
      <c r="G26" s="2" t="s">
        <v>550</v>
      </c>
      <c r="H26" s="1" t="s">
        <v>544</v>
      </c>
      <c r="I26" s="1" t="s">
        <v>544</v>
      </c>
      <c r="J26" s="1" t="s">
        <v>49</v>
      </c>
      <c r="K26" s="3">
        <v>0</v>
      </c>
      <c r="L26" s="1">
        <v>710000000</v>
      </c>
      <c r="M26" s="1" t="s">
        <v>37</v>
      </c>
      <c r="N26" s="1" t="s">
        <v>450</v>
      </c>
      <c r="O26" s="1" t="s">
        <v>39</v>
      </c>
      <c r="P26" s="1" t="s">
        <v>40</v>
      </c>
      <c r="Q26" s="1" t="s">
        <v>41</v>
      </c>
      <c r="R26" s="1" t="s">
        <v>42</v>
      </c>
      <c r="S26" s="2" t="s">
        <v>57</v>
      </c>
      <c r="T26" s="2" t="s">
        <v>58</v>
      </c>
      <c r="U26" s="4">
        <v>30</v>
      </c>
      <c r="V26" s="13">
        <f>1400/1.12</f>
        <v>1249.9999999999998</v>
      </c>
      <c r="W26" s="13">
        <f t="shared" si="2"/>
        <v>37499.999999999993</v>
      </c>
      <c r="X26" s="13">
        <f>W26*1.12</f>
        <v>41999.999999999993</v>
      </c>
      <c r="Y26" s="1"/>
      <c r="Z26" s="1">
        <v>2016</v>
      </c>
      <c r="AA26" s="1"/>
    </row>
    <row r="27" spans="1:27" ht="25.5" x14ac:dyDescent="0.25">
      <c r="A27" s="1" t="s">
        <v>585</v>
      </c>
      <c r="B27" s="2" t="s">
        <v>31</v>
      </c>
      <c r="C27" s="2" t="s">
        <v>535</v>
      </c>
      <c r="D27" s="2" t="s">
        <v>536</v>
      </c>
      <c r="E27" s="2" t="s">
        <v>538</v>
      </c>
      <c r="F27" s="2" t="s">
        <v>537</v>
      </c>
      <c r="G27" s="2" t="s">
        <v>539</v>
      </c>
      <c r="H27" s="1"/>
      <c r="I27" s="1"/>
      <c r="J27" s="1" t="s">
        <v>49</v>
      </c>
      <c r="K27" s="3">
        <v>0</v>
      </c>
      <c r="L27" s="1">
        <v>710000000</v>
      </c>
      <c r="M27" s="1" t="s">
        <v>37</v>
      </c>
      <c r="N27" s="1" t="s">
        <v>450</v>
      </c>
      <c r="O27" s="1" t="s">
        <v>39</v>
      </c>
      <c r="P27" s="1" t="s">
        <v>40</v>
      </c>
      <c r="Q27" s="1" t="s">
        <v>41</v>
      </c>
      <c r="R27" s="1" t="s">
        <v>42</v>
      </c>
      <c r="S27" s="2" t="s">
        <v>57</v>
      </c>
      <c r="T27" s="2" t="s">
        <v>58</v>
      </c>
      <c r="U27" s="4">
        <v>100</v>
      </c>
      <c r="V27" s="13">
        <f>25/1.12</f>
        <v>22.321428571428569</v>
      </c>
      <c r="W27" s="13">
        <f t="shared" ref="W27:W28" si="5">U27*V27</f>
        <v>2232.1428571428569</v>
      </c>
      <c r="X27" s="13">
        <f>W27*1.12</f>
        <v>2500</v>
      </c>
      <c r="Y27" s="1"/>
      <c r="Z27" s="1">
        <v>2016</v>
      </c>
      <c r="AA27" s="1"/>
    </row>
    <row r="28" spans="1:27" ht="25.5" x14ac:dyDescent="0.25">
      <c r="A28" s="1" t="s">
        <v>586</v>
      </c>
      <c r="B28" s="2" t="s">
        <v>31</v>
      </c>
      <c r="C28" s="2" t="s">
        <v>556</v>
      </c>
      <c r="D28" s="2" t="s">
        <v>557</v>
      </c>
      <c r="E28" s="2" t="s">
        <v>557</v>
      </c>
      <c r="F28" s="2" t="s">
        <v>558</v>
      </c>
      <c r="G28" s="2" t="s">
        <v>561</v>
      </c>
      <c r="H28" s="1" t="s">
        <v>559</v>
      </c>
      <c r="I28" s="1" t="s">
        <v>562</v>
      </c>
      <c r="J28" s="1" t="s">
        <v>49</v>
      </c>
      <c r="K28" s="3">
        <v>0</v>
      </c>
      <c r="L28" s="1">
        <v>710000000</v>
      </c>
      <c r="M28" s="1" t="s">
        <v>37</v>
      </c>
      <c r="N28" s="1" t="s">
        <v>450</v>
      </c>
      <c r="O28" s="1" t="s">
        <v>39</v>
      </c>
      <c r="P28" s="1" t="s">
        <v>40</v>
      </c>
      <c r="Q28" s="1" t="s">
        <v>41</v>
      </c>
      <c r="R28" s="1" t="s">
        <v>42</v>
      </c>
      <c r="S28" s="2">
        <v>839</v>
      </c>
      <c r="T28" s="2" t="s">
        <v>560</v>
      </c>
      <c r="U28" s="4">
        <v>1</v>
      </c>
      <c r="V28" s="13">
        <f>38000/1.12</f>
        <v>33928.571428571428</v>
      </c>
      <c r="W28" s="13">
        <f t="shared" si="5"/>
        <v>33928.571428571428</v>
      </c>
      <c r="X28" s="13">
        <f>W28*1.12</f>
        <v>38000</v>
      </c>
      <c r="Y28" s="1"/>
      <c r="Z28" s="1">
        <v>2016</v>
      </c>
      <c r="AA28" s="1"/>
    </row>
    <row r="29" spans="1:27" ht="25.5" x14ac:dyDescent="0.25">
      <c r="A29" s="1" t="s">
        <v>587</v>
      </c>
      <c r="B29" s="2" t="s">
        <v>31</v>
      </c>
      <c r="C29" s="2" t="s">
        <v>73</v>
      </c>
      <c r="D29" s="2" t="s">
        <v>74</v>
      </c>
      <c r="E29" s="2" t="s">
        <v>75</v>
      </c>
      <c r="F29" s="2" t="s">
        <v>76</v>
      </c>
      <c r="G29" s="2" t="s">
        <v>77</v>
      </c>
      <c r="H29" s="1"/>
      <c r="I29" s="1"/>
      <c r="J29" s="1" t="s">
        <v>49</v>
      </c>
      <c r="K29" s="3">
        <v>0</v>
      </c>
      <c r="L29" s="1">
        <v>710000000</v>
      </c>
      <c r="M29" s="1" t="s">
        <v>37</v>
      </c>
      <c r="N29" s="1" t="s">
        <v>450</v>
      </c>
      <c r="O29" s="1" t="s">
        <v>39</v>
      </c>
      <c r="P29" s="1" t="s">
        <v>40</v>
      </c>
      <c r="Q29" s="1" t="s">
        <v>41</v>
      </c>
      <c r="R29" s="1" t="s">
        <v>42</v>
      </c>
      <c r="S29" s="1" t="s">
        <v>57</v>
      </c>
      <c r="T29" s="2" t="s">
        <v>58</v>
      </c>
      <c r="U29" s="4">
        <v>17</v>
      </c>
      <c r="V29" s="13">
        <f>2700/1.12</f>
        <v>2410.7142857142853</v>
      </c>
      <c r="W29" s="13">
        <f t="shared" si="2"/>
        <v>40982.142857142848</v>
      </c>
      <c r="X29" s="13">
        <f t="shared" si="3"/>
        <v>45899.999999999993</v>
      </c>
      <c r="Y29" s="1"/>
      <c r="Z29" s="1">
        <v>2016</v>
      </c>
      <c r="AA29" s="1"/>
    </row>
    <row r="30" spans="1:27" ht="38.25" x14ac:dyDescent="0.25">
      <c r="A30" s="1" t="s">
        <v>588</v>
      </c>
      <c r="B30" s="2" t="s">
        <v>31</v>
      </c>
      <c r="C30" s="2" t="s">
        <v>414</v>
      </c>
      <c r="D30" s="2" t="s">
        <v>78</v>
      </c>
      <c r="E30" s="2" t="s">
        <v>79</v>
      </c>
      <c r="F30" s="2" t="s">
        <v>415</v>
      </c>
      <c r="G30" s="2" t="s">
        <v>416</v>
      </c>
      <c r="H30" s="1" t="s">
        <v>80</v>
      </c>
      <c r="I30" s="1" t="s">
        <v>81</v>
      </c>
      <c r="J30" s="1" t="s">
        <v>49</v>
      </c>
      <c r="K30" s="3">
        <v>0.3</v>
      </c>
      <c r="L30" s="1">
        <v>710000000</v>
      </c>
      <c r="M30" s="1" t="s">
        <v>37</v>
      </c>
      <c r="N30" s="1" t="s">
        <v>38</v>
      </c>
      <c r="O30" s="1" t="s">
        <v>39</v>
      </c>
      <c r="P30" s="1" t="s">
        <v>40</v>
      </c>
      <c r="Q30" s="1" t="s">
        <v>450</v>
      </c>
      <c r="R30" s="1" t="s">
        <v>82</v>
      </c>
      <c r="S30" s="1" t="s">
        <v>57</v>
      </c>
      <c r="T30" s="2" t="s">
        <v>58</v>
      </c>
      <c r="U30" s="4">
        <v>13</v>
      </c>
      <c r="V30" s="13">
        <f>42878/1.12</f>
        <v>38283.928571428565</v>
      </c>
      <c r="W30" s="13">
        <f t="shared" ref="W30:W38" si="6">U30*V30</f>
        <v>497691.07142857136</v>
      </c>
      <c r="X30" s="13">
        <f t="shared" ref="X30:X38" si="7">W30*1.12</f>
        <v>557414</v>
      </c>
      <c r="Y30" s="1" t="s">
        <v>83</v>
      </c>
      <c r="Z30" s="1">
        <v>2016</v>
      </c>
      <c r="AA30" s="1"/>
    </row>
    <row r="31" spans="1:27" ht="38.25" x14ac:dyDescent="0.25">
      <c r="A31" s="1" t="s">
        <v>589</v>
      </c>
      <c r="B31" s="2" t="s">
        <v>31</v>
      </c>
      <c r="C31" s="2" t="s">
        <v>414</v>
      </c>
      <c r="D31" s="2" t="s">
        <v>78</v>
      </c>
      <c r="E31" s="2" t="s">
        <v>79</v>
      </c>
      <c r="F31" s="2" t="s">
        <v>415</v>
      </c>
      <c r="G31" s="2" t="s">
        <v>416</v>
      </c>
      <c r="H31" s="1" t="s">
        <v>444</v>
      </c>
      <c r="I31" s="1" t="s">
        <v>81</v>
      </c>
      <c r="J31" s="1" t="s">
        <v>49</v>
      </c>
      <c r="K31" s="3">
        <v>0.3</v>
      </c>
      <c r="L31" s="1">
        <v>710000000</v>
      </c>
      <c r="M31" s="1" t="s">
        <v>37</v>
      </c>
      <c r="N31" s="1" t="s">
        <v>38</v>
      </c>
      <c r="O31" s="1" t="s">
        <v>39</v>
      </c>
      <c r="P31" s="1" t="s">
        <v>40</v>
      </c>
      <c r="Q31" s="1" t="s">
        <v>450</v>
      </c>
      <c r="R31" s="1" t="s">
        <v>82</v>
      </c>
      <c r="S31" s="1" t="s">
        <v>57</v>
      </c>
      <c r="T31" s="2" t="s">
        <v>58</v>
      </c>
      <c r="U31" s="4">
        <v>1</v>
      </c>
      <c r="V31" s="13">
        <f>47918/1.12</f>
        <v>42783.928571428565</v>
      </c>
      <c r="W31" s="13">
        <f t="shared" si="6"/>
        <v>42783.928571428565</v>
      </c>
      <c r="X31" s="13">
        <f t="shared" si="7"/>
        <v>47918</v>
      </c>
      <c r="Y31" s="1" t="s">
        <v>83</v>
      </c>
      <c r="Z31" s="1">
        <v>2016</v>
      </c>
      <c r="AA31" s="1"/>
    </row>
    <row r="32" spans="1:27" ht="25.5" x14ac:dyDescent="0.25">
      <c r="A32" s="1" t="s">
        <v>590</v>
      </c>
      <c r="B32" s="2" t="s">
        <v>31</v>
      </c>
      <c r="C32" s="2" t="s">
        <v>418</v>
      </c>
      <c r="D32" s="2" t="s">
        <v>84</v>
      </c>
      <c r="E32" s="2" t="s">
        <v>84</v>
      </c>
      <c r="F32" s="2" t="s">
        <v>417</v>
      </c>
      <c r="G32" s="2" t="s">
        <v>419</v>
      </c>
      <c r="H32" s="2" t="s">
        <v>433</v>
      </c>
      <c r="I32" s="2" t="s">
        <v>434</v>
      </c>
      <c r="J32" s="1" t="s">
        <v>49</v>
      </c>
      <c r="K32" s="3">
        <v>0.3</v>
      </c>
      <c r="L32" s="1">
        <v>710000000</v>
      </c>
      <c r="M32" s="1" t="s">
        <v>37</v>
      </c>
      <c r="N32" s="1" t="s">
        <v>38</v>
      </c>
      <c r="O32" s="1" t="s">
        <v>39</v>
      </c>
      <c r="P32" s="1" t="s">
        <v>40</v>
      </c>
      <c r="Q32" s="1" t="s">
        <v>450</v>
      </c>
      <c r="R32" s="1" t="s">
        <v>82</v>
      </c>
      <c r="S32" s="1" t="s">
        <v>57</v>
      </c>
      <c r="T32" s="2" t="s">
        <v>58</v>
      </c>
      <c r="U32" s="4">
        <v>14</v>
      </c>
      <c r="V32" s="13">
        <v>26785.72</v>
      </c>
      <c r="W32" s="13">
        <f t="shared" si="6"/>
        <v>375000.08</v>
      </c>
      <c r="X32" s="13">
        <f t="shared" si="7"/>
        <v>420000.08960000006</v>
      </c>
      <c r="Y32" s="1" t="s">
        <v>83</v>
      </c>
      <c r="Z32" s="1">
        <v>2016</v>
      </c>
      <c r="AA32" s="1"/>
    </row>
    <row r="33" spans="1:27" ht="25.5" x14ac:dyDescent="0.25">
      <c r="A33" s="1" t="s">
        <v>591</v>
      </c>
      <c r="B33" s="2" t="s">
        <v>31</v>
      </c>
      <c r="C33" s="2" t="s">
        <v>85</v>
      </c>
      <c r="D33" s="2" t="s">
        <v>86</v>
      </c>
      <c r="E33" s="2" t="s">
        <v>87</v>
      </c>
      <c r="F33" s="2" t="s">
        <v>88</v>
      </c>
      <c r="G33" s="2" t="s">
        <v>89</v>
      </c>
      <c r="H33" s="1" t="s">
        <v>90</v>
      </c>
      <c r="I33" s="1" t="s">
        <v>91</v>
      </c>
      <c r="J33" s="1" t="s">
        <v>49</v>
      </c>
      <c r="K33" s="3">
        <v>0.3</v>
      </c>
      <c r="L33" s="1">
        <v>710000000</v>
      </c>
      <c r="M33" s="1" t="s">
        <v>37</v>
      </c>
      <c r="N33" s="1" t="s">
        <v>38</v>
      </c>
      <c r="O33" s="1" t="s">
        <v>39</v>
      </c>
      <c r="P33" s="1" t="s">
        <v>40</v>
      </c>
      <c r="Q33" s="1" t="s">
        <v>450</v>
      </c>
      <c r="R33" s="1" t="s">
        <v>82</v>
      </c>
      <c r="S33" s="1" t="s">
        <v>57</v>
      </c>
      <c r="T33" s="2" t="s">
        <v>58</v>
      </c>
      <c r="U33" s="4">
        <v>25</v>
      </c>
      <c r="V33" s="13">
        <v>6500</v>
      </c>
      <c r="W33" s="13">
        <f t="shared" si="6"/>
        <v>162500</v>
      </c>
      <c r="X33" s="13">
        <f t="shared" si="7"/>
        <v>182000.00000000003</v>
      </c>
      <c r="Y33" s="1" t="s">
        <v>83</v>
      </c>
      <c r="Z33" s="1">
        <v>2016</v>
      </c>
      <c r="AA33" s="1"/>
    </row>
    <row r="34" spans="1:27" ht="25.5" x14ac:dyDescent="0.25">
      <c r="A34" s="1" t="s">
        <v>592</v>
      </c>
      <c r="B34" s="2" t="s">
        <v>31</v>
      </c>
      <c r="C34" s="2" t="s">
        <v>92</v>
      </c>
      <c r="D34" s="2" t="s">
        <v>93</v>
      </c>
      <c r="E34" s="2" t="s">
        <v>93</v>
      </c>
      <c r="F34" s="2" t="s">
        <v>94</v>
      </c>
      <c r="G34" s="2" t="s">
        <v>95</v>
      </c>
      <c r="H34" s="2" t="s">
        <v>565</v>
      </c>
      <c r="I34" s="2" t="s">
        <v>566</v>
      </c>
      <c r="J34" s="1" t="s">
        <v>49</v>
      </c>
      <c r="K34" s="3">
        <v>0.3</v>
      </c>
      <c r="L34" s="1">
        <v>710000000</v>
      </c>
      <c r="M34" s="1" t="s">
        <v>37</v>
      </c>
      <c r="N34" s="1" t="s">
        <v>38</v>
      </c>
      <c r="O34" s="1" t="s">
        <v>39</v>
      </c>
      <c r="P34" s="1" t="s">
        <v>40</v>
      </c>
      <c r="Q34" s="1" t="s">
        <v>450</v>
      </c>
      <c r="R34" s="1" t="s">
        <v>82</v>
      </c>
      <c r="S34" s="1" t="s">
        <v>57</v>
      </c>
      <c r="T34" s="2" t="s">
        <v>58</v>
      </c>
      <c r="U34" s="4">
        <v>5</v>
      </c>
      <c r="V34" s="13">
        <f>31985/1.12</f>
        <v>28558.03571428571</v>
      </c>
      <c r="W34" s="13">
        <f t="shared" si="6"/>
        <v>142790.17857142855</v>
      </c>
      <c r="X34" s="13">
        <f t="shared" si="7"/>
        <v>159925</v>
      </c>
      <c r="Y34" s="1" t="s">
        <v>83</v>
      </c>
      <c r="Z34" s="1">
        <v>2016</v>
      </c>
      <c r="AA34" s="1"/>
    </row>
    <row r="35" spans="1:27" ht="51" x14ac:dyDescent="0.25">
      <c r="A35" s="1" t="s">
        <v>593</v>
      </c>
      <c r="B35" s="2" t="s">
        <v>31</v>
      </c>
      <c r="C35" s="2" t="s">
        <v>427</v>
      </c>
      <c r="D35" s="2" t="s">
        <v>93</v>
      </c>
      <c r="E35" s="2" t="s">
        <v>93</v>
      </c>
      <c r="F35" s="2" t="s">
        <v>428</v>
      </c>
      <c r="G35" s="2" t="s">
        <v>96</v>
      </c>
      <c r="H35" s="2" t="s">
        <v>429</v>
      </c>
      <c r="I35" s="2" t="s">
        <v>430</v>
      </c>
      <c r="J35" s="1" t="s">
        <v>49</v>
      </c>
      <c r="K35" s="3">
        <v>0.3</v>
      </c>
      <c r="L35" s="1">
        <v>710000000</v>
      </c>
      <c r="M35" s="1" t="s">
        <v>37</v>
      </c>
      <c r="N35" s="1" t="s">
        <v>38</v>
      </c>
      <c r="O35" s="1" t="s">
        <v>39</v>
      </c>
      <c r="P35" s="1" t="s">
        <v>40</v>
      </c>
      <c r="Q35" s="1" t="s">
        <v>450</v>
      </c>
      <c r="R35" s="1" t="s">
        <v>82</v>
      </c>
      <c r="S35" s="1" t="s">
        <v>57</v>
      </c>
      <c r="T35" s="2" t="s">
        <v>58</v>
      </c>
      <c r="U35" s="4">
        <v>6</v>
      </c>
      <c r="V35" s="13">
        <f>26105/1.12</f>
        <v>23308.035714285714</v>
      </c>
      <c r="W35" s="13">
        <f t="shared" si="6"/>
        <v>139848.21428571429</v>
      </c>
      <c r="X35" s="13">
        <f t="shared" si="7"/>
        <v>156630.00000000003</v>
      </c>
      <c r="Y35" s="1" t="s">
        <v>83</v>
      </c>
      <c r="Z35" s="1">
        <v>2016</v>
      </c>
      <c r="AA35" s="1"/>
    </row>
    <row r="36" spans="1:27" ht="38.25" x14ac:dyDescent="0.25">
      <c r="A36" s="1" t="s">
        <v>594</v>
      </c>
      <c r="B36" s="2" t="s">
        <v>31</v>
      </c>
      <c r="C36" s="2" t="s">
        <v>427</v>
      </c>
      <c r="D36" s="2" t="s">
        <v>93</v>
      </c>
      <c r="E36" s="2" t="s">
        <v>93</v>
      </c>
      <c r="F36" s="2" t="s">
        <v>428</v>
      </c>
      <c r="G36" s="2" t="s">
        <v>96</v>
      </c>
      <c r="H36" s="2" t="s">
        <v>431</v>
      </c>
      <c r="I36" s="2" t="s">
        <v>432</v>
      </c>
      <c r="J36" s="1" t="s">
        <v>49</v>
      </c>
      <c r="K36" s="3">
        <v>0.3</v>
      </c>
      <c r="L36" s="1">
        <v>710000000</v>
      </c>
      <c r="M36" s="1" t="s">
        <v>37</v>
      </c>
      <c r="N36" s="1" t="s">
        <v>38</v>
      </c>
      <c r="O36" s="1" t="s">
        <v>39</v>
      </c>
      <c r="P36" s="1" t="s">
        <v>40</v>
      </c>
      <c r="Q36" s="1" t="s">
        <v>450</v>
      </c>
      <c r="R36" s="1" t="s">
        <v>82</v>
      </c>
      <c r="S36" s="1" t="s">
        <v>57</v>
      </c>
      <c r="T36" s="2" t="s">
        <v>58</v>
      </c>
      <c r="U36" s="4">
        <v>2</v>
      </c>
      <c r="V36" s="13">
        <f>32825/1.12</f>
        <v>29308.03571428571</v>
      </c>
      <c r="W36" s="13">
        <f t="shared" si="6"/>
        <v>58616.07142857142</v>
      </c>
      <c r="X36" s="13">
        <f t="shared" si="7"/>
        <v>65650</v>
      </c>
      <c r="Y36" s="1" t="s">
        <v>83</v>
      </c>
      <c r="Z36" s="1">
        <v>2016</v>
      </c>
      <c r="AA36" s="1"/>
    </row>
    <row r="37" spans="1:27" ht="25.5" x14ac:dyDescent="0.25">
      <c r="A37" s="1" t="s">
        <v>595</v>
      </c>
      <c r="B37" s="2" t="s">
        <v>31</v>
      </c>
      <c r="C37" s="2" t="s">
        <v>438</v>
      </c>
      <c r="D37" s="2" t="s">
        <v>439</v>
      </c>
      <c r="E37" s="2" t="s">
        <v>439</v>
      </c>
      <c r="F37" s="2" t="s">
        <v>440</v>
      </c>
      <c r="G37" s="2" t="s">
        <v>443</v>
      </c>
      <c r="H37" s="2" t="s">
        <v>441</v>
      </c>
      <c r="I37" s="2" t="s">
        <v>442</v>
      </c>
      <c r="J37" s="1" t="s">
        <v>49</v>
      </c>
      <c r="K37" s="3">
        <v>0.3</v>
      </c>
      <c r="L37" s="1">
        <v>710000000</v>
      </c>
      <c r="M37" s="1" t="s">
        <v>37</v>
      </c>
      <c r="N37" s="1" t="s">
        <v>38</v>
      </c>
      <c r="O37" s="1" t="s">
        <v>39</v>
      </c>
      <c r="P37" s="1" t="s">
        <v>40</v>
      </c>
      <c r="Q37" s="1" t="s">
        <v>450</v>
      </c>
      <c r="R37" s="1" t="s">
        <v>82</v>
      </c>
      <c r="S37" s="1" t="s">
        <v>57</v>
      </c>
      <c r="T37" s="2" t="s">
        <v>58</v>
      </c>
      <c r="U37" s="4">
        <v>1</v>
      </c>
      <c r="V37" s="13">
        <f>29680/1.12</f>
        <v>26499.999999999996</v>
      </c>
      <c r="W37" s="13">
        <f t="shared" si="6"/>
        <v>26499.999999999996</v>
      </c>
      <c r="X37" s="13">
        <f t="shared" si="7"/>
        <v>29680</v>
      </c>
      <c r="Y37" s="1" t="s">
        <v>83</v>
      </c>
      <c r="Z37" s="1">
        <v>2016</v>
      </c>
      <c r="AA37" s="1"/>
    </row>
    <row r="38" spans="1:27" ht="25.5" x14ac:dyDescent="0.25">
      <c r="A38" s="1" t="s">
        <v>596</v>
      </c>
      <c r="B38" s="2" t="s">
        <v>31</v>
      </c>
      <c r="C38" s="2" t="s">
        <v>445</v>
      </c>
      <c r="D38" s="2" t="s">
        <v>78</v>
      </c>
      <c r="E38" s="2" t="s">
        <v>79</v>
      </c>
      <c r="F38" s="2" t="s">
        <v>446</v>
      </c>
      <c r="G38" s="2" t="s">
        <v>449</v>
      </c>
      <c r="H38" s="2" t="s">
        <v>447</v>
      </c>
      <c r="I38" s="2" t="s">
        <v>448</v>
      </c>
      <c r="J38" s="1" t="s">
        <v>49</v>
      </c>
      <c r="K38" s="3">
        <v>0.3</v>
      </c>
      <c r="L38" s="1">
        <v>710000000</v>
      </c>
      <c r="M38" s="1" t="s">
        <v>37</v>
      </c>
      <c r="N38" s="1" t="s">
        <v>38</v>
      </c>
      <c r="O38" s="1" t="s">
        <v>39</v>
      </c>
      <c r="P38" s="1" t="s">
        <v>40</v>
      </c>
      <c r="Q38" s="1" t="s">
        <v>450</v>
      </c>
      <c r="R38" s="1" t="s">
        <v>82</v>
      </c>
      <c r="S38" s="1" t="s">
        <v>57</v>
      </c>
      <c r="T38" s="2" t="s">
        <v>58</v>
      </c>
      <c r="U38" s="4">
        <v>1</v>
      </c>
      <c r="V38" s="13">
        <f>168470/1.12</f>
        <v>150419.64285714284</v>
      </c>
      <c r="W38" s="13">
        <f t="shared" si="6"/>
        <v>150419.64285714284</v>
      </c>
      <c r="X38" s="13">
        <f t="shared" si="7"/>
        <v>168470</v>
      </c>
      <c r="Y38" s="1" t="s">
        <v>83</v>
      </c>
      <c r="Z38" s="1">
        <v>2016</v>
      </c>
      <c r="AA38" s="1"/>
    </row>
    <row r="39" spans="1:27" ht="25.5" x14ac:dyDescent="0.25">
      <c r="A39" s="1" t="s">
        <v>597</v>
      </c>
      <c r="B39" s="2" t="s">
        <v>31</v>
      </c>
      <c r="C39" s="2" t="s">
        <v>97</v>
      </c>
      <c r="D39" s="2" t="s">
        <v>98</v>
      </c>
      <c r="E39" s="2" t="s">
        <v>99</v>
      </c>
      <c r="F39" s="2" t="s">
        <v>100</v>
      </c>
      <c r="G39" s="2" t="s">
        <v>101</v>
      </c>
      <c r="H39" s="14"/>
      <c r="I39" s="14"/>
      <c r="J39" s="1" t="s">
        <v>49</v>
      </c>
      <c r="K39" s="3">
        <v>0</v>
      </c>
      <c r="L39" s="1">
        <v>710000000</v>
      </c>
      <c r="M39" s="1" t="s">
        <v>37</v>
      </c>
      <c r="N39" s="1" t="s">
        <v>102</v>
      </c>
      <c r="O39" s="1" t="s">
        <v>39</v>
      </c>
      <c r="P39" s="1" t="s">
        <v>40</v>
      </c>
      <c r="Q39" s="1" t="s">
        <v>41</v>
      </c>
      <c r="R39" s="1" t="s">
        <v>42</v>
      </c>
      <c r="S39" s="1" t="s">
        <v>57</v>
      </c>
      <c r="T39" s="2" t="s">
        <v>58</v>
      </c>
      <c r="U39" s="4">
        <v>1</v>
      </c>
      <c r="V39" s="13">
        <f>12000/1.12</f>
        <v>10714.285714285714</v>
      </c>
      <c r="W39" s="13">
        <f t="shared" si="2"/>
        <v>10714.285714285714</v>
      </c>
      <c r="X39" s="13">
        <f t="shared" si="3"/>
        <v>12000</v>
      </c>
      <c r="Y39" s="1"/>
      <c r="Z39" s="1">
        <v>2016</v>
      </c>
      <c r="AA39" s="1"/>
    </row>
    <row r="40" spans="1:27" ht="25.5" x14ac:dyDescent="0.25">
      <c r="A40" s="1" t="s">
        <v>598</v>
      </c>
      <c r="B40" s="2" t="s">
        <v>31</v>
      </c>
      <c r="C40" s="2" t="s">
        <v>103</v>
      </c>
      <c r="D40" s="2" t="s">
        <v>104</v>
      </c>
      <c r="E40" s="2" t="s">
        <v>104</v>
      </c>
      <c r="F40" s="2" t="s">
        <v>105</v>
      </c>
      <c r="G40" s="2" t="s">
        <v>106</v>
      </c>
      <c r="H40" s="1"/>
      <c r="I40" s="1"/>
      <c r="J40" s="1" t="s">
        <v>49</v>
      </c>
      <c r="K40" s="3">
        <v>0</v>
      </c>
      <c r="L40" s="1">
        <v>710000000</v>
      </c>
      <c r="M40" s="1" t="s">
        <v>37</v>
      </c>
      <c r="N40" s="1" t="s">
        <v>102</v>
      </c>
      <c r="O40" s="1" t="s">
        <v>39</v>
      </c>
      <c r="P40" s="1" t="s">
        <v>40</v>
      </c>
      <c r="Q40" s="1" t="s">
        <v>41</v>
      </c>
      <c r="R40" s="1" t="s">
        <v>42</v>
      </c>
      <c r="S40" s="1" t="s">
        <v>57</v>
      </c>
      <c r="T40" s="2" t="s">
        <v>58</v>
      </c>
      <c r="U40" s="4">
        <v>1</v>
      </c>
      <c r="V40" s="13">
        <f>210000/1.12</f>
        <v>187499.99999999997</v>
      </c>
      <c r="W40" s="13">
        <f t="shared" si="2"/>
        <v>187499.99999999997</v>
      </c>
      <c r="X40" s="13">
        <f t="shared" si="3"/>
        <v>210000</v>
      </c>
      <c r="Y40" s="1"/>
      <c r="Z40" s="1">
        <v>2016</v>
      </c>
      <c r="AA40" s="1"/>
    </row>
    <row r="41" spans="1:27" ht="38.25" x14ac:dyDescent="0.25">
      <c r="A41" s="1" t="s">
        <v>599</v>
      </c>
      <c r="B41" s="2" t="s">
        <v>31</v>
      </c>
      <c r="C41" s="2" t="s">
        <v>107</v>
      </c>
      <c r="D41" s="2" t="s">
        <v>108</v>
      </c>
      <c r="E41" s="2" t="s">
        <v>108</v>
      </c>
      <c r="F41" s="2" t="s">
        <v>109</v>
      </c>
      <c r="G41" s="2" t="s">
        <v>110</v>
      </c>
      <c r="H41" s="1" t="s">
        <v>111</v>
      </c>
      <c r="I41" s="1" t="s">
        <v>112</v>
      </c>
      <c r="J41" s="1" t="s">
        <v>49</v>
      </c>
      <c r="K41" s="3">
        <v>0</v>
      </c>
      <c r="L41" s="1">
        <v>710000000</v>
      </c>
      <c r="M41" s="1" t="s">
        <v>37</v>
      </c>
      <c r="N41" s="1" t="s">
        <v>102</v>
      </c>
      <c r="O41" s="1" t="s">
        <v>39</v>
      </c>
      <c r="P41" s="1" t="s">
        <v>40</v>
      </c>
      <c r="Q41" s="1" t="s">
        <v>41</v>
      </c>
      <c r="R41" s="1" t="s">
        <v>42</v>
      </c>
      <c r="S41" s="1" t="s">
        <v>57</v>
      </c>
      <c r="T41" s="2" t="s">
        <v>58</v>
      </c>
      <c r="U41" s="4">
        <v>3</v>
      </c>
      <c r="V41" s="13">
        <f>40000/1.12</f>
        <v>35714.28571428571</v>
      </c>
      <c r="W41" s="13">
        <f t="shared" si="2"/>
        <v>107142.85714285713</v>
      </c>
      <c r="X41" s="13">
        <f t="shared" si="3"/>
        <v>120000</v>
      </c>
      <c r="Y41" s="1"/>
      <c r="Z41" s="1">
        <v>2016</v>
      </c>
      <c r="AA41" s="1"/>
    </row>
    <row r="42" spans="1:27" ht="25.5" x14ac:dyDescent="0.25">
      <c r="A42" s="1" t="s">
        <v>498</v>
      </c>
      <c r="B42" s="2" t="s">
        <v>31</v>
      </c>
      <c r="C42" s="2" t="s">
        <v>113</v>
      </c>
      <c r="D42" s="2" t="s">
        <v>114</v>
      </c>
      <c r="E42" s="2" t="s">
        <v>115</v>
      </c>
      <c r="F42" s="2" t="s">
        <v>116</v>
      </c>
      <c r="G42" s="2" t="s">
        <v>117</v>
      </c>
      <c r="H42" s="1"/>
      <c r="I42" s="1"/>
      <c r="J42" s="1" t="s">
        <v>49</v>
      </c>
      <c r="K42" s="3">
        <v>0</v>
      </c>
      <c r="L42" s="1">
        <v>710000000</v>
      </c>
      <c r="M42" s="1" t="s">
        <v>37</v>
      </c>
      <c r="N42" s="1" t="s">
        <v>102</v>
      </c>
      <c r="O42" s="1" t="s">
        <v>39</v>
      </c>
      <c r="P42" s="1" t="s">
        <v>40</v>
      </c>
      <c r="Q42" s="1" t="s">
        <v>41</v>
      </c>
      <c r="R42" s="1" t="s">
        <v>42</v>
      </c>
      <c r="S42" s="1" t="s">
        <v>57</v>
      </c>
      <c r="T42" s="2" t="s">
        <v>58</v>
      </c>
      <c r="U42" s="4">
        <v>3</v>
      </c>
      <c r="V42" s="13">
        <v>6249.9999999999991</v>
      </c>
      <c r="W42" s="13">
        <f>U42*V42</f>
        <v>18749.999999999996</v>
      </c>
      <c r="X42" s="13">
        <f>W42*1.12</f>
        <v>20999.999999999996</v>
      </c>
      <c r="Y42" s="1"/>
      <c r="Z42" s="1">
        <v>2016</v>
      </c>
      <c r="AA42" s="1"/>
    </row>
    <row r="43" spans="1:27" ht="25.5" x14ac:dyDescent="0.25">
      <c r="A43" s="1" t="s">
        <v>600</v>
      </c>
      <c r="B43" s="2" t="s">
        <v>31</v>
      </c>
      <c r="C43" s="2" t="s">
        <v>118</v>
      </c>
      <c r="D43" s="2" t="s">
        <v>119</v>
      </c>
      <c r="E43" s="2" t="s">
        <v>119</v>
      </c>
      <c r="F43" s="2" t="s">
        <v>120</v>
      </c>
      <c r="G43" s="2" t="s">
        <v>121</v>
      </c>
      <c r="H43" s="1" t="s">
        <v>122</v>
      </c>
      <c r="I43" s="1" t="s">
        <v>121</v>
      </c>
      <c r="J43" s="1" t="s">
        <v>49</v>
      </c>
      <c r="K43" s="3">
        <v>0</v>
      </c>
      <c r="L43" s="1">
        <v>710000000</v>
      </c>
      <c r="M43" s="1" t="s">
        <v>37</v>
      </c>
      <c r="N43" s="1" t="s">
        <v>102</v>
      </c>
      <c r="O43" s="1" t="s">
        <v>39</v>
      </c>
      <c r="P43" s="1" t="s">
        <v>40</v>
      </c>
      <c r="Q43" s="1" t="s">
        <v>41</v>
      </c>
      <c r="R43" s="1" t="s">
        <v>42</v>
      </c>
      <c r="S43" s="1" t="s">
        <v>123</v>
      </c>
      <c r="T43" s="2" t="s">
        <v>124</v>
      </c>
      <c r="U43" s="4">
        <v>1</v>
      </c>
      <c r="V43" s="13">
        <f>10000/1.12</f>
        <v>8928.5714285714275</v>
      </c>
      <c r="W43" s="13">
        <f t="shared" si="2"/>
        <v>8928.5714285714275</v>
      </c>
      <c r="X43" s="13">
        <f t="shared" si="3"/>
        <v>10000</v>
      </c>
      <c r="Y43" s="1"/>
      <c r="Z43" s="1">
        <v>2016</v>
      </c>
      <c r="AA43" s="1"/>
    </row>
    <row r="44" spans="1:27" ht="58.5" customHeight="1" x14ac:dyDescent="0.25">
      <c r="A44" s="1" t="s">
        <v>601</v>
      </c>
      <c r="B44" s="2" t="s">
        <v>31</v>
      </c>
      <c r="C44" s="2" t="s">
        <v>125</v>
      </c>
      <c r="D44" s="2" t="s">
        <v>126</v>
      </c>
      <c r="E44" s="2" t="s">
        <v>127</v>
      </c>
      <c r="F44" s="2" t="s">
        <v>128</v>
      </c>
      <c r="G44" s="2" t="s">
        <v>129</v>
      </c>
      <c r="H44" s="1"/>
      <c r="I44" s="1"/>
      <c r="J44" s="1" t="s">
        <v>49</v>
      </c>
      <c r="K44" s="3">
        <v>0</v>
      </c>
      <c r="L44" s="1">
        <v>710000000</v>
      </c>
      <c r="M44" s="1" t="s">
        <v>37</v>
      </c>
      <c r="N44" s="1" t="s">
        <v>102</v>
      </c>
      <c r="O44" s="1" t="s">
        <v>39</v>
      </c>
      <c r="P44" s="1" t="s">
        <v>40</v>
      </c>
      <c r="Q44" s="1" t="s">
        <v>41</v>
      </c>
      <c r="R44" s="1" t="s">
        <v>42</v>
      </c>
      <c r="S44" s="2" t="s">
        <v>57</v>
      </c>
      <c r="T44" s="2" t="s">
        <v>58</v>
      </c>
      <c r="U44" s="4">
        <v>1</v>
      </c>
      <c r="V44" s="13">
        <f>28000/1.12</f>
        <v>24999.999999999996</v>
      </c>
      <c r="W44" s="13">
        <f t="shared" si="2"/>
        <v>24999.999999999996</v>
      </c>
      <c r="X44" s="13">
        <f t="shared" si="3"/>
        <v>28000</v>
      </c>
      <c r="Y44" s="1"/>
      <c r="Z44" s="1">
        <v>2016</v>
      </c>
      <c r="AA44" s="1"/>
    </row>
    <row r="45" spans="1:27" ht="25.5" x14ac:dyDescent="0.25">
      <c r="A45" s="1" t="s">
        <v>602</v>
      </c>
      <c r="B45" s="2" t="s">
        <v>31</v>
      </c>
      <c r="C45" s="2" t="s">
        <v>130</v>
      </c>
      <c r="D45" s="2" t="s">
        <v>131</v>
      </c>
      <c r="E45" s="2" t="s">
        <v>132</v>
      </c>
      <c r="F45" s="2" t="s">
        <v>133</v>
      </c>
      <c r="G45" s="2" t="s">
        <v>134</v>
      </c>
      <c r="H45" s="14" t="s">
        <v>135</v>
      </c>
      <c r="I45" s="14" t="s">
        <v>136</v>
      </c>
      <c r="J45" s="1" t="s">
        <v>49</v>
      </c>
      <c r="K45" s="3">
        <v>0</v>
      </c>
      <c r="L45" s="1">
        <v>710000000</v>
      </c>
      <c r="M45" s="1" t="s">
        <v>37</v>
      </c>
      <c r="N45" s="1" t="s">
        <v>102</v>
      </c>
      <c r="O45" s="1" t="s">
        <v>39</v>
      </c>
      <c r="P45" s="1" t="s">
        <v>40</v>
      </c>
      <c r="Q45" s="1" t="s">
        <v>41</v>
      </c>
      <c r="R45" s="1" t="s">
        <v>42</v>
      </c>
      <c r="S45" s="2" t="s">
        <v>57</v>
      </c>
      <c r="T45" s="2" t="s">
        <v>58</v>
      </c>
      <c r="U45" s="4">
        <v>10</v>
      </c>
      <c r="V45" s="13">
        <f>1500/1.12</f>
        <v>1339.2857142857142</v>
      </c>
      <c r="W45" s="13">
        <f t="shared" si="2"/>
        <v>13392.857142857141</v>
      </c>
      <c r="X45" s="13">
        <f t="shared" si="3"/>
        <v>15000</v>
      </c>
      <c r="Y45" s="1"/>
      <c r="Z45" s="1">
        <v>2016</v>
      </c>
      <c r="AA45" s="1"/>
    </row>
    <row r="46" spans="1:27" ht="25.5" x14ac:dyDescent="0.25">
      <c r="A46" s="1" t="s">
        <v>603</v>
      </c>
      <c r="B46" s="2" t="s">
        <v>31</v>
      </c>
      <c r="C46" s="2" t="s">
        <v>139</v>
      </c>
      <c r="D46" s="2" t="s">
        <v>140</v>
      </c>
      <c r="E46" s="2" t="s">
        <v>140</v>
      </c>
      <c r="F46" s="2" t="s">
        <v>141</v>
      </c>
      <c r="G46" s="2" t="s">
        <v>142</v>
      </c>
      <c r="H46" s="1" t="s">
        <v>143</v>
      </c>
      <c r="I46" s="1" t="s">
        <v>144</v>
      </c>
      <c r="J46" s="1" t="s">
        <v>49</v>
      </c>
      <c r="K46" s="3">
        <v>0</v>
      </c>
      <c r="L46" s="1">
        <v>710000000</v>
      </c>
      <c r="M46" s="1" t="s">
        <v>37</v>
      </c>
      <c r="N46" s="1" t="s">
        <v>102</v>
      </c>
      <c r="O46" s="1" t="s">
        <v>39</v>
      </c>
      <c r="P46" s="1" t="s">
        <v>40</v>
      </c>
      <c r="Q46" s="1" t="s">
        <v>41</v>
      </c>
      <c r="R46" s="1" t="s">
        <v>42</v>
      </c>
      <c r="S46" s="2" t="s">
        <v>57</v>
      </c>
      <c r="T46" s="2" t="s">
        <v>58</v>
      </c>
      <c r="U46" s="4">
        <v>1</v>
      </c>
      <c r="V46" s="13">
        <v>45000</v>
      </c>
      <c r="W46" s="13">
        <f t="shared" si="2"/>
        <v>45000</v>
      </c>
      <c r="X46" s="13">
        <f t="shared" si="3"/>
        <v>50400.000000000007</v>
      </c>
      <c r="Y46" s="1"/>
      <c r="Z46" s="1">
        <v>2016</v>
      </c>
      <c r="AA46" s="1"/>
    </row>
    <row r="47" spans="1:27" ht="25.5" x14ac:dyDescent="0.25">
      <c r="A47" s="1" t="s">
        <v>604</v>
      </c>
      <c r="B47" s="2" t="s">
        <v>31</v>
      </c>
      <c r="C47" s="2" t="s">
        <v>145</v>
      </c>
      <c r="D47" s="2" t="s">
        <v>146</v>
      </c>
      <c r="E47" s="2" t="s">
        <v>146</v>
      </c>
      <c r="F47" s="2" t="s">
        <v>147</v>
      </c>
      <c r="G47" s="2" t="s">
        <v>148</v>
      </c>
      <c r="H47" s="1" t="s">
        <v>149</v>
      </c>
      <c r="I47" s="1" t="s">
        <v>150</v>
      </c>
      <c r="J47" s="1" t="s">
        <v>49</v>
      </c>
      <c r="K47" s="3">
        <v>0</v>
      </c>
      <c r="L47" s="1">
        <v>710000000</v>
      </c>
      <c r="M47" s="1" t="s">
        <v>37</v>
      </c>
      <c r="N47" s="1" t="s">
        <v>102</v>
      </c>
      <c r="O47" s="1" t="s">
        <v>39</v>
      </c>
      <c r="P47" s="1" t="s">
        <v>40</v>
      </c>
      <c r="Q47" s="1" t="s">
        <v>41</v>
      </c>
      <c r="R47" s="1" t="s">
        <v>42</v>
      </c>
      <c r="S47" s="2" t="s">
        <v>57</v>
      </c>
      <c r="T47" s="2" t="s">
        <v>58</v>
      </c>
      <c r="U47" s="4">
        <v>1</v>
      </c>
      <c r="V47" s="13">
        <v>116071.43</v>
      </c>
      <c r="W47" s="13">
        <f t="shared" si="2"/>
        <v>116071.43</v>
      </c>
      <c r="X47" s="13">
        <f t="shared" si="3"/>
        <v>130000.0016</v>
      </c>
      <c r="Y47" s="1"/>
      <c r="Z47" s="1">
        <v>2016</v>
      </c>
      <c r="AA47" s="1"/>
    </row>
    <row r="48" spans="1:27" ht="25.5" x14ac:dyDescent="0.25">
      <c r="A48" s="1" t="s">
        <v>605</v>
      </c>
      <c r="B48" s="2" t="s">
        <v>31</v>
      </c>
      <c r="C48" s="2" t="s">
        <v>151</v>
      </c>
      <c r="D48" s="2" t="s">
        <v>152</v>
      </c>
      <c r="E48" s="2" t="s">
        <v>152</v>
      </c>
      <c r="F48" s="2" t="s">
        <v>153</v>
      </c>
      <c r="G48" s="2" t="s">
        <v>154</v>
      </c>
      <c r="H48" s="1"/>
      <c r="I48" s="1"/>
      <c r="J48" s="1" t="s">
        <v>49</v>
      </c>
      <c r="K48" s="3">
        <v>0</v>
      </c>
      <c r="L48" s="1">
        <v>710000000</v>
      </c>
      <c r="M48" s="1" t="s">
        <v>37</v>
      </c>
      <c r="N48" s="1" t="s">
        <v>102</v>
      </c>
      <c r="O48" s="1" t="s">
        <v>39</v>
      </c>
      <c r="P48" s="1" t="s">
        <v>40</v>
      </c>
      <c r="Q48" s="1" t="s">
        <v>41</v>
      </c>
      <c r="R48" s="1" t="s">
        <v>42</v>
      </c>
      <c r="S48" s="2" t="s">
        <v>57</v>
      </c>
      <c r="T48" s="2" t="s">
        <v>58</v>
      </c>
      <c r="U48" s="4">
        <v>1</v>
      </c>
      <c r="V48" s="13">
        <f>100000/1.12</f>
        <v>89285.714285714275</v>
      </c>
      <c r="W48" s="13">
        <f t="shared" si="2"/>
        <v>89285.714285714275</v>
      </c>
      <c r="X48" s="13">
        <f t="shared" si="3"/>
        <v>100000</v>
      </c>
      <c r="Y48" s="1"/>
      <c r="Z48" s="1">
        <v>2016</v>
      </c>
      <c r="AA48" s="1"/>
    </row>
    <row r="49" spans="1:27" ht="25.5" x14ac:dyDescent="0.25">
      <c r="A49" s="1" t="s">
        <v>606</v>
      </c>
      <c r="B49" s="2" t="s">
        <v>31</v>
      </c>
      <c r="C49" s="2" t="s">
        <v>155</v>
      </c>
      <c r="D49" s="2" t="s">
        <v>156</v>
      </c>
      <c r="E49" s="2" t="s">
        <v>156</v>
      </c>
      <c r="F49" s="2" t="s">
        <v>157</v>
      </c>
      <c r="G49" s="2" t="s">
        <v>158</v>
      </c>
      <c r="H49" s="1"/>
      <c r="I49" s="1"/>
      <c r="J49" s="1" t="s">
        <v>49</v>
      </c>
      <c r="K49" s="3">
        <v>0</v>
      </c>
      <c r="L49" s="1">
        <v>710000000</v>
      </c>
      <c r="M49" s="1" t="s">
        <v>37</v>
      </c>
      <c r="N49" s="1" t="s">
        <v>102</v>
      </c>
      <c r="O49" s="1" t="s">
        <v>39</v>
      </c>
      <c r="P49" s="1" t="s">
        <v>40</v>
      </c>
      <c r="Q49" s="1" t="s">
        <v>41</v>
      </c>
      <c r="R49" s="1" t="s">
        <v>42</v>
      </c>
      <c r="S49" s="2" t="s">
        <v>57</v>
      </c>
      <c r="T49" s="2" t="s">
        <v>58</v>
      </c>
      <c r="U49" s="4">
        <v>1</v>
      </c>
      <c r="V49" s="13">
        <f>2500/1.12</f>
        <v>2232.1428571428569</v>
      </c>
      <c r="W49" s="13">
        <f t="shared" si="2"/>
        <v>2232.1428571428569</v>
      </c>
      <c r="X49" s="13">
        <f t="shared" si="3"/>
        <v>2500</v>
      </c>
      <c r="Y49" s="1"/>
      <c r="Z49" s="1">
        <v>2016</v>
      </c>
      <c r="AA49" s="1"/>
    </row>
    <row r="50" spans="1:27" ht="38.25" x14ac:dyDescent="0.25">
      <c r="A50" s="1" t="s">
        <v>607</v>
      </c>
      <c r="B50" s="2" t="s">
        <v>31</v>
      </c>
      <c r="C50" s="2" t="s">
        <v>159</v>
      </c>
      <c r="D50" s="2" t="s">
        <v>160</v>
      </c>
      <c r="E50" s="2" t="s">
        <v>161</v>
      </c>
      <c r="F50" s="2" t="s">
        <v>162</v>
      </c>
      <c r="G50" s="2" t="s">
        <v>163</v>
      </c>
      <c r="H50" s="1"/>
      <c r="I50" s="1"/>
      <c r="J50" s="1" t="s">
        <v>36</v>
      </c>
      <c r="K50" s="3">
        <v>0</v>
      </c>
      <c r="L50" s="1">
        <v>710000000</v>
      </c>
      <c r="M50" s="1" t="s">
        <v>37</v>
      </c>
      <c r="N50" s="1" t="s">
        <v>102</v>
      </c>
      <c r="O50" s="1" t="s">
        <v>39</v>
      </c>
      <c r="P50" s="1" t="s">
        <v>40</v>
      </c>
      <c r="Q50" s="1" t="s">
        <v>41</v>
      </c>
      <c r="R50" s="1" t="s">
        <v>42</v>
      </c>
      <c r="S50" s="2" t="s">
        <v>57</v>
      </c>
      <c r="T50" s="2" t="s">
        <v>58</v>
      </c>
      <c r="U50" s="4">
        <v>1</v>
      </c>
      <c r="V50" s="13">
        <f>2400000/1.12</f>
        <v>2142857.1428571427</v>
      </c>
      <c r="W50" s="13">
        <f t="shared" si="2"/>
        <v>2142857.1428571427</v>
      </c>
      <c r="X50" s="13">
        <f t="shared" si="3"/>
        <v>2400000</v>
      </c>
      <c r="Y50" s="1"/>
      <c r="Z50" s="1">
        <v>2016</v>
      </c>
      <c r="AA50" s="1"/>
    </row>
    <row r="51" spans="1:27" ht="25.5" x14ac:dyDescent="0.25">
      <c r="A51" s="1" t="s">
        <v>608</v>
      </c>
      <c r="B51" s="2" t="s">
        <v>31</v>
      </c>
      <c r="C51" s="2" t="s">
        <v>164</v>
      </c>
      <c r="D51" s="2" t="s">
        <v>165</v>
      </c>
      <c r="E51" s="2" t="s">
        <v>165</v>
      </c>
      <c r="F51" s="2" t="s">
        <v>166</v>
      </c>
      <c r="G51" s="2" t="s">
        <v>167</v>
      </c>
      <c r="H51" s="1" t="s">
        <v>168</v>
      </c>
      <c r="I51" s="1" t="s">
        <v>169</v>
      </c>
      <c r="J51" s="1" t="s">
        <v>49</v>
      </c>
      <c r="K51" s="3">
        <v>0</v>
      </c>
      <c r="L51" s="1">
        <v>710000000</v>
      </c>
      <c r="M51" s="1" t="s">
        <v>37</v>
      </c>
      <c r="N51" s="1" t="s">
        <v>102</v>
      </c>
      <c r="O51" s="1" t="s">
        <v>39</v>
      </c>
      <c r="P51" s="1" t="s">
        <v>40</v>
      </c>
      <c r="Q51" s="1" t="s">
        <v>41</v>
      </c>
      <c r="R51" s="1" t="s">
        <v>42</v>
      </c>
      <c r="S51" s="2" t="s">
        <v>57</v>
      </c>
      <c r="T51" s="2" t="s">
        <v>58</v>
      </c>
      <c r="U51" s="4">
        <v>1</v>
      </c>
      <c r="V51" s="13">
        <v>17857.14</v>
      </c>
      <c r="W51" s="13">
        <f t="shared" si="2"/>
        <v>17857.14</v>
      </c>
      <c r="X51" s="13">
        <f t="shared" si="3"/>
        <v>19999.996800000001</v>
      </c>
      <c r="Y51" s="1"/>
      <c r="Z51" s="1">
        <v>2016</v>
      </c>
      <c r="AA51" s="1"/>
    </row>
    <row r="52" spans="1:27" ht="25.5" x14ac:dyDescent="0.25">
      <c r="A52" s="1" t="s">
        <v>609</v>
      </c>
      <c r="B52" s="2" t="s">
        <v>31</v>
      </c>
      <c r="C52" s="2" t="s">
        <v>170</v>
      </c>
      <c r="D52" s="2" t="s">
        <v>171</v>
      </c>
      <c r="E52" s="2" t="s">
        <v>172</v>
      </c>
      <c r="F52" s="2" t="s">
        <v>173</v>
      </c>
      <c r="G52" s="2" t="s">
        <v>174</v>
      </c>
      <c r="H52" s="1"/>
      <c r="I52" s="1"/>
      <c r="J52" s="1" t="s">
        <v>49</v>
      </c>
      <c r="K52" s="3">
        <v>0</v>
      </c>
      <c r="L52" s="1">
        <v>710000000</v>
      </c>
      <c r="M52" s="1" t="s">
        <v>37</v>
      </c>
      <c r="N52" s="1" t="s">
        <v>102</v>
      </c>
      <c r="O52" s="1" t="s">
        <v>39</v>
      </c>
      <c r="P52" s="1" t="s">
        <v>40</v>
      </c>
      <c r="Q52" s="1" t="s">
        <v>41</v>
      </c>
      <c r="R52" s="1" t="s">
        <v>42</v>
      </c>
      <c r="S52" s="2" t="s">
        <v>57</v>
      </c>
      <c r="T52" s="2" t="s">
        <v>58</v>
      </c>
      <c r="U52" s="4">
        <v>2</v>
      </c>
      <c r="V52" s="13">
        <f>19500/1.12</f>
        <v>17410.714285714283</v>
      </c>
      <c r="W52" s="13">
        <f t="shared" si="2"/>
        <v>34821.428571428565</v>
      </c>
      <c r="X52" s="13">
        <f t="shared" si="3"/>
        <v>39000</v>
      </c>
      <c r="Y52" s="1"/>
      <c r="Z52" s="1">
        <v>2016</v>
      </c>
      <c r="AA52" s="1"/>
    </row>
    <row r="53" spans="1:27" ht="25.5" x14ac:dyDescent="0.25">
      <c r="A53" s="1" t="s">
        <v>610</v>
      </c>
      <c r="B53" s="2" t="s">
        <v>31</v>
      </c>
      <c r="C53" s="2" t="s">
        <v>175</v>
      </c>
      <c r="D53" s="2" t="s">
        <v>176</v>
      </c>
      <c r="E53" s="2" t="s">
        <v>176</v>
      </c>
      <c r="F53" s="2" t="s">
        <v>177</v>
      </c>
      <c r="G53" s="2" t="s">
        <v>178</v>
      </c>
      <c r="H53" s="14"/>
      <c r="I53" s="14"/>
      <c r="J53" s="1" t="s">
        <v>49</v>
      </c>
      <c r="K53" s="3">
        <v>0</v>
      </c>
      <c r="L53" s="1">
        <v>710000000</v>
      </c>
      <c r="M53" s="1" t="s">
        <v>37</v>
      </c>
      <c r="N53" s="1" t="s">
        <v>102</v>
      </c>
      <c r="O53" s="1" t="s">
        <v>39</v>
      </c>
      <c r="P53" s="1" t="s">
        <v>40</v>
      </c>
      <c r="Q53" s="1" t="s">
        <v>41</v>
      </c>
      <c r="R53" s="1" t="s">
        <v>42</v>
      </c>
      <c r="S53" s="2" t="s">
        <v>57</v>
      </c>
      <c r="T53" s="2" t="s">
        <v>58</v>
      </c>
      <c r="U53" s="4">
        <v>17</v>
      </c>
      <c r="V53" s="13">
        <f>135/1.12</f>
        <v>120.53571428571428</v>
      </c>
      <c r="W53" s="13">
        <f t="shared" si="2"/>
        <v>2049.1071428571427</v>
      </c>
      <c r="X53" s="13">
        <f t="shared" si="3"/>
        <v>2295</v>
      </c>
      <c r="Y53" s="1"/>
      <c r="Z53" s="1">
        <v>2016</v>
      </c>
      <c r="AA53" s="1"/>
    </row>
    <row r="54" spans="1:27" ht="25.5" x14ac:dyDescent="0.25">
      <c r="A54" s="1" t="s">
        <v>611</v>
      </c>
      <c r="B54" s="2" t="s">
        <v>31</v>
      </c>
      <c r="C54" s="2" t="s">
        <v>179</v>
      </c>
      <c r="D54" s="2" t="s">
        <v>180</v>
      </c>
      <c r="E54" s="2" t="s">
        <v>181</v>
      </c>
      <c r="F54" s="2" t="s">
        <v>182</v>
      </c>
      <c r="G54" s="2" t="s">
        <v>183</v>
      </c>
      <c r="H54" s="14" t="s">
        <v>184</v>
      </c>
      <c r="I54" s="14" t="s">
        <v>185</v>
      </c>
      <c r="J54" s="1" t="s">
        <v>49</v>
      </c>
      <c r="K54" s="3">
        <v>0</v>
      </c>
      <c r="L54" s="1">
        <v>710000000</v>
      </c>
      <c r="M54" s="1" t="s">
        <v>37</v>
      </c>
      <c r="N54" s="1" t="s">
        <v>102</v>
      </c>
      <c r="O54" s="1" t="s">
        <v>39</v>
      </c>
      <c r="P54" s="1" t="s">
        <v>40</v>
      </c>
      <c r="Q54" s="1" t="s">
        <v>41</v>
      </c>
      <c r="R54" s="1" t="s">
        <v>42</v>
      </c>
      <c r="S54" s="2" t="s">
        <v>57</v>
      </c>
      <c r="T54" s="2" t="s">
        <v>58</v>
      </c>
      <c r="U54" s="4">
        <v>4</v>
      </c>
      <c r="V54" s="13">
        <v>280</v>
      </c>
      <c r="W54" s="13">
        <f t="shared" si="2"/>
        <v>1120</v>
      </c>
      <c r="X54" s="13">
        <f t="shared" si="3"/>
        <v>1254.4000000000001</v>
      </c>
      <c r="Y54" s="1"/>
      <c r="Z54" s="1">
        <v>2016</v>
      </c>
      <c r="AA54" s="1"/>
    </row>
    <row r="55" spans="1:27" ht="25.5" x14ac:dyDescent="0.25">
      <c r="A55" s="1" t="s">
        <v>612</v>
      </c>
      <c r="B55" s="2" t="s">
        <v>31</v>
      </c>
      <c r="C55" s="2" t="s">
        <v>186</v>
      </c>
      <c r="D55" s="2" t="s">
        <v>187</v>
      </c>
      <c r="E55" s="2" t="s">
        <v>188</v>
      </c>
      <c r="F55" s="2" t="s">
        <v>189</v>
      </c>
      <c r="G55" s="2" t="s">
        <v>190</v>
      </c>
      <c r="H55" s="1" t="s">
        <v>191</v>
      </c>
      <c r="I55" s="1" t="s">
        <v>192</v>
      </c>
      <c r="J55" s="1" t="s">
        <v>49</v>
      </c>
      <c r="K55" s="3">
        <v>0.15</v>
      </c>
      <c r="L55" s="1">
        <v>710000000</v>
      </c>
      <c r="M55" s="1" t="s">
        <v>37</v>
      </c>
      <c r="N55" s="1" t="s">
        <v>38</v>
      </c>
      <c r="O55" s="1" t="s">
        <v>39</v>
      </c>
      <c r="P55" s="1" t="s">
        <v>40</v>
      </c>
      <c r="Q55" s="1" t="s">
        <v>420</v>
      </c>
      <c r="R55" s="1" t="s">
        <v>82</v>
      </c>
      <c r="S55" s="2" t="s">
        <v>193</v>
      </c>
      <c r="T55" s="2" t="s">
        <v>194</v>
      </c>
      <c r="U55" s="4">
        <v>120</v>
      </c>
      <c r="V55" s="13">
        <v>1000</v>
      </c>
      <c r="W55" s="13">
        <f t="shared" si="2"/>
        <v>120000</v>
      </c>
      <c r="X55" s="13">
        <f t="shared" si="3"/>
        <v>134400</v>
      </c>
      <c r="Y55" s="1" t="s">
        <v>83</v>
      </c>
      <c r="Z55" s="1">
        <v>2016</v>
      </c>
      <c r="AA55" s="1"/>
    </row>
    <row r="56" spans="1:27" ht="25.5" x14ac:dyDescent="0.25">
      <c r="A56" s="1" t="s">
        <v>613</v>
      </c>
      <c r="B56" s="2" t="s">
        <v>31</v>
      </c>
      <c r="C56" s="2" t="s">
        <v>479</v>
      </c>
      <c r="D56" s="2" t="s">
        <v>187</v>
      </c>
      <c r="E56" s="2" t="s">
        <v>188</v>
      </c>
      <c r="F56" s="2" t="s">
        <v>480</v>
      </c>
      <c r="G56" s="2" t="s">
        <v>484</v>
      </c>
      <c r="H56" s="1"/>
      <c r="I56" s="1"/>
      <c r="J56" s="1" t="s">
        <v>49</v>
      </c>
      <c r="K56" s="3">
        <v>0</v>
      </c>
      <c r="L56" s="1">
        <v>710000000</v>
      </c>
      <c r="M56" s="1" t="s">
        <v>37</v>
      </c>
      <c r="N56" s="1" t="s">
        <v>102</v>
      </c>
      <c r="O56" s="1" t="s">
        <v>39</v>
      </c>
      <c r="P56" s="1" t="s">
        <v>40</v>
      </c>
      <c r="Q56" s="1" t="s">
        <v>41</v>
      </c>
      <c r="R56" s="1" t="s">
        <v>42</v>
      </c>
      <c r="S56" s="2">
        <v>736</v>
      </c>
      <c r="T56" s="2" t="s">
        <v>481</v>
      </c>
      <c r="U56" s="4">
        <v>51</v>
      </c>
      <c r="V56" s="13">
        <f>260/1.12</f>
        <v>232.14285714285711</v>
      </c>
      <c r="W56" s="13">
        <f t="shared" ref="W56:W58" si="8">U56*V56</f>
        <v>11839.285714285712</v>
      </c>
      <c r="X56" s="13">
        <f t="shared" ref="X56:X58" si="9">W56*1.12</f>
        <v>13259.999999999998</v>
      </c>
      <c r="Y56" s="1"/>
      <c r="Z56" s="1">
        <v>2016</v>
      </c>
      <c r="AA56" s="1"/>
    </row>
    <row r="57" spans="1:27" ht="25.5" x14ac:dyDescent="0.25">
      <c r="A57" s="1" t="s">
        <v>614</v>
      </c>
      <c r="B57" s="2" t="s">
        <v>31</v>
      </c>
      <c r="C57" s="2" t="s">
        <v>499</v>
      </c>
      <c r="D57" s="2" t="s">
        <v>500</v>
      </c>
      <c r="E57" s="2" t="s">
        <v>501</v>
      </c>
      <c r="F57" s="2" t="s">
        <v>195</v>
      </c>
      <c r="G57" s="2" t="s">
        <v>196</v>
      </c>
      <c r="H57" s="2"/>
      <c r="I57" s="2"/>
      <c r="J57" s="2" t="s">
        <v>49</v>
      </c>
      <c r="K57" s="3">
        <v>0</v>
      </c>
      <c r="L57" s="1">
        <v>710000000</v>
      </c>
      <c r="M57" s="1" t="s">
        <v>37</v>
      </c>
      <c r="N57" s="1" t="s">
        <v>102</v>
      </c>
      <c r="O57" s="1" t="s">
        <v>39</v>
      </c>
      <c r="P57" s="1" t="s">
        <v>40</v>
      </c>
      <c r="Q57" s="1" t="s">
        <v>41</v>
      </c>
      <c r="R57" s="1" t="s">
        <v>42</v>
      </c>
      <c r="S57" s="2" t="s">
        <v>57</v>
      </c>
      <c r="T57" s="2" t="s">
        <v>58</v>
      </c>
      <c r="U57" s="4">
        <v>2</v>
      </c>
      <c r="V57" s="13">
        <v>1220</v>
      </c>
      <c r="W57" s="13">
        <f t="shared" si="8"/>
        <v>2440</v>
      </c>
      <c r="X57" s="13">
        <f t="shared" si="9"/>
        <v>2732.8</v>
      </c>
      <c r="Y57" s="1"/>
      <c r="Z57" s="1">
        <v>2016</v>
      </c>
      <c r="AA57" s="1"/>
    </row>
    <row r="58" spans="1:27" ht="25.5" x14ac:dyDescent="0.25">
      <c r="A58" s="1" t="s">
        <v>615</v>
      </c>
      <c r="B58" s="2" t="s">
        <v>31</v>
      </c>
      <c r="C58" s="2" t="s">
        <v>551</v>
      </c>
      <c r="D58" s="2" t="s">
        <v>552</v>
      </c>
      <c r="E58" s="2"/>
      <c r="F58" s="2" t="s">
        <v>553</v>
      </c>
      <c r="G58" s="2"/>
      <c r="H58" s="2"/>
      <c r="I58" s="2"/>
      <c r="J58" s="2" t="s">
        <v>49</v>
      </c>
      <c r="K58" s="3">
        <v>0</v>
      </c>
      <c r="L58" s="1">
        <v>710000000</v>
      </c>
      <c r="M58" s="1" t="s">
        <v>37</v>
      </c>
      <c r="N58" s="1" t="s">
        <v>102</v>
      </c>
      <c r="O58" s="1" t="s">
        <v>39</v>
      </c>
      <c r="P58" s="1" t="s">
        <v>40</v>
      </c>
      <c r="Q58" s="1" t="s">
        <v>41</v>
      </c>
      <c r="R58" s="1" t="s">
        <v>42</v>
      </c>
      <c r="S58" s="2" t="s">
        <v>57</v>
      </c>
      <c r="T58" s="2" t="s">
        <v>58</v>
      </c>
      <c r="U58" s="4">
        <v>17</v>
      </c>
      <c r="V58" s="13">
        <v>850</v>
      </c>
      <c r="W58" s="13">
        <f t="shared" si="8"/>
        <v>14450</v>
      </c>
      <c r="X58" s="13">
        <f t="shared" si="9"/>
        <v>16184.000000000002</v>
      </c>
      <c r="Y58" s="1"/>
      <c r="Z58" s="1">
        <v>2016</v>
      </c>
      <c r="AA58" s="1"/>
    </row>
    <row r="59" spans="1:27" ht="25.5" x14ac:dyDescent="0.25">
      <c r="A59" s="1" t="s">
        <v>616</v>
      </c>
      <c r="B59" s="2" t="s">
        <v>31</v>
      </c>
      <c r="C59" s="2" t="s">
        <v>482</v>
      </c>
      <c r="D59" s="2" t="s">
        <v>197</v>
      </c>
      <c r="E59" s="2" t="s">
        <v>198</v>
      </c>
      <c r="F59" s="2" t="s">
        <v>199</v>
      </c>
      <c r="G59" s="2" t="s">
        <v>200</v>
      </c>
      <c r="H59" s="1" t="s">
        <v>201</v>
      </c>
      <c r="I59" s="1" t="s">
        <v>202</v>
      </c>
      <c r="J59" s="1" t="s">
        <v>49</v>
      </c>
      <c r="K59" s="3">
        <v>0</v>
      </c>
      <c r="L59" s="1">
        <v>710000000</v>
      </c>
      <c r="M59" s="1" t="s">
        <v>37</v>
      </c>
      <c r="N59" s="1" t="s">
        <v>102</v>
      </c>
      <c r="O59" s="1" t="s">
        <v>39</v>
      </c>
      <c r="P59" s="1" t="s">
        <v>40</v>
      </c>
      <c r="Q59" s="1" t="s">
        <v>41</v>
      </c>
      <c r="R59" s="1" t="s">
        <v>42</v>
      </c>
      <c r="S59" s="2">
        <v>778</v>
      </c>
      <c r="T59" s="2" t="s">
        <v>483</v>
      </c>
      <c r="U59" s="4">
        <v>6</v>
      </c>
      <c r="V59" s="13">
        <f>210/1.12</f>
        <v>187.49999999999997</v>
      </c>
      <c r="W59" s="13">
        <f t="shared" ref="W59" si="10">U59*V59</f>
        <v>1124.9999999999998</v>
      </c>
      <c r="X59" s="13">
        <f t="shared" ref="X59" si="11">W59*1.12</f>
        <v>1259.9999999999998</v>
      </c>
      <c r="Y59" s="1"/>
      <c r="Z59" s="1">
        <v>2016</v>
      </c>
      <c r="AA59" s="1"/>
    </row>
    <row r="60" spans="1:27" ht="66.75" customHeight="1" x14ac:dyDescent="0.25">
      <c r="A60" s="1" t="s">
        <v>617</v>
      </c>
      <c r="B60" s="1" t="s">
        <v>31</v>
      </c>
      <c r="C60" s="2" t="s">
        <v>203</v>
      </c>
      <c r="D60" s="2" t="s">
        <v>204</v>
      </c>
      <c r="E60" s="2" t="s">
        <v>204</v>
      </c>
      <c r="F60" s="2" t="s">
        <v>205</v>
      </c>
      <c r="G60" s="2" t="s">
        <v>206</v>
      </c>
      <c r="H60" s="1"/>
      <c r="I60" s="1"/>
      <c r="J60" s="1" t="s">
        <v>49</v>
      </c>
      <c r="K60" s="3">
        <v>0</v>
      </c>
      <c r="L60" s="1">
        <v>710000000</v>
      </c>
      <c r="M60" s="1" t="s">
        <v>37</v>
      </c>
      <c r="N60" s="1" t="s">
        <v>102</v>
      </c>
      <c r="O60" s="1" t="s">
        <v>39</v>
      </c>
      <c r="P60" s="1" t="s">
        <v>40</v>
      </c>
      <c r="Q60" s="1" t="s">
        <v>41</v>
      </c>
      <c r="R60" s="1" t="s">
        <v>42</v>
      </c>
      <c r="S60" s="2" t="s">
        <v>57</v>
      </c>
      <c r="T60" s="2" t="s">
        <v>58</v>
      </c>
      <c r="U60" s="4">
        <v>3</v>
      </c>
      <c r="V60" s="13">
        <v>2700</v>
      </c>
      <c r="W60" s="13">
        <f t="shared" si="2"/>
        <v>8100</v>
      </c>
      <c r="X60" s="13">
        <f t="shared" si="3"/>
        <v>9072</v>
      </c>
      <c r="Y60" s="1"/>
      <c r="Z60" s="1">
        <v>2016</v>
      </c>
      <c r="AA60" s="1"/>
    </row>
    <row r="61" spans="1:27" ht="25.5" x14ac:dyDescent="0.25">
      <c r="A61" s="1" t="s">
        <v>618</v>
      </c>
      <c r="B61" s="2" t="s">
        <v>31</v>
      </c>
      <c r="C61" s="2" t="s">
        <v>207</v>
      </c>
      <c r="D61" s="2" t="s">
        <v>208</v>
      </c>
      <c r="E61" s="2" t="s">
        <v>209</v>
      </c>
      <c r="F61" s="2" t="s">
        <v>210</v>
      </c>
      <c r="G61" s="2" t="s">
        <v>211</v>
      </c>
      <c r="H61" s="1"/>
      <c r="I61" s="1"/>
      <c r="J61" s="1" t="s">
        <v>49</v>
      </c>
      <c r="K61" s="3">
        <v>0</v>
      </c>
      <c r="L61" s="1">
        <v>710000000</v>
      </c>
      <c r="M61" s="1" t="s">
        <v>37</v>
      </c>
      <c r="N61" s="1" t="s">
        <v>102</v>
      </c>
      <c r="O61" s="1" t="s">
        <v>39</v>
      </c>
      <c r="P61" s="1" t="s">
        <v>40</v>
      </c>
      <c r="Q61" s="1" t="s">
        <v>41</v>
      </c>
      <c r="R61" s="1" t="s">
        <v>42</v>
      </c>
      <c r="S61" s="2" t="s">
        <v>57</v>
      </c>
      <c r="T61" s="2" t="s">
        <v>58</v>
      </c>
      <c r="U61" s="4">
        <v>85</v>
      </c>
      <c r="V61" s="13">
        <v>20</v>
      </c>
      <c r="W61" s="13">
        <f t="shared" si="2"/>
        <v>1700</v>
      </c>
      <c r="X61" s="13">
        <f t="shared" si="3"/>
        <v>1904.0000000000002</v>
      </c>
      <c r="Y61" s="1"/>
      <c r="Z61" s="1">
        <v>2016</v>
      </c>
      <c r="AA61" s="1"/>
    </row>
    <row r="62" spans="1:27" ht="25.5" x14ac:dyDescent="0.25">
      <c r="A62" s="1" t="s">
        <v>619</v>
      </c>
      <c r="B62" s="2" t="s">
        <v>31</v>
      </c>
      <c r="C62" s="2" t="s">
        <v>212</v>
      </c>
      <c r="D62" s="2" t="s">
        <v>213</v>
      </c>
      <c r="E62" s="2" t="s">
        <v>214</v>
      </c>
      <c r="F62" s="2" t="s">
        <v>215</v>
      </c>
      <c r="G62" s="2" t="s">
        <v>216</v>
      </c>
      <c r="H62" s="1"/>
      <c r="I62" s="1"/>
      <c r="J62" s="1" t="s">
        <v>49</v>
      </c>
      <c r="K62" s="3">
        <v>0</v>
      </c>
      <c r="L62" s="1">
        <v>710000000</v>
      </c>
      <c r="M62" s="1" t="s">
        <v>37</v>
      </c>
      <c r="N62" s="1" t="s">
        <v>102</v>
      </c>
      <c r="O62" s="1" t="s">
        <v>39</v>
      </c>
      <c r="P62" s="1" t="s">
        <v>40</v>
      </c>
      <c r="Q62" s="1" t="s">
        <v>41</v>
      </c>
      <c r="R62" s="1" t="s">
        <v>42</v>
      </c>
      <c r="S62" s="2" t="s">
        <v>57</v>
      </c>
      <c r="T62" s="2" t="s">
        <v>58</v>
      </c>
      <c r="U62" s="4">
        <v>17</v>
      </c>
      <c r="V62" s="13">
        <f>105/1.12</f>
        <v>93.749999999999986</v>
      </c>
      <c r="W62" s="13">
        <f t="shared" si="2"/>
        <v>1593.7499999999998</v>
      </c>
      <c r="X62" s="13">
        <f t="shared" si="3"/>
        <v>1785</v>
      </c>
      <c r="Y62" s="1"/>
      <c r="Z62" s="1">
        <v>2016</v>
      </c>
      <c r="AA62" s="1"/>
    </row>
    <row r="63" spans="1:27" ht="25.5" x14ac:dyDescent="0.25">
      <c r="A63" s="1" t="s">
        <v>620</v>
      </c>
      <c r="B63" s="2" t="s">
        <v>31</v>
      </c>
      <c r="C63" s="2" t="s">
        <v>217</v>
      </c>
      <c r="D63" s="2" t="s">
        <v>218</v>
      </c>
      <c r="E63" s="2" t="s">
        <v>218</v>
      </c>
      <c r="F63" s="2" t="s">
        <v>219</v>
      </c>
      <c r="G63" s="2" t="s">
        <v>220</v>
      </c>
      <c r="H63" s="1"/>
      <c r="I63" s="1"/>
      <c r="J63" s="1" t="s">
        <v>49</v>
      </c>
      <c r="K63" s="3">
        <v>0</v>
      </c>
      <c r="L63" s="1">
        <v>710000000</v>
      </c>
      <c r="M63" s="1" t="s">
        <v>37</v>
      </c>
      <c r="N63" s="1" t="s">
        <v>102</v>
      </c>
      <c r="O63" s="1" t="s">
        <v>39</v>
      </c>
      <c r="P63" s="1" t="s">
        <v>40</v>
      </c>
      <c r="Q63" s="1" t="s">
        <v>41</v>
      </c>
      <c r="R63" s="1" t="s">
        <v>42</v>
      </c>
      <c r="S63" s="2" t="s">
        <v>57</v>
      </c>
      <c r="T63" s="2" t="s">
        <v>58</v>
      </c>
      <c r="U63" s="4">
        <v>170</v>
      </c>
      <c r="V63" s="13">
        <f>30/1.12</f>
        <v>26.785714285714285</v>
      </c>
      <c r="W63" s="13">
        <f t="shared" si="2"/>
        <v>4553.5714285714284</v>
      </c>
      <c r="X63" s="13">
        <f t="shared" si="3"/>
        <v>5100</v>
      </c>
      <c r="Y63" s="1"/>
      <c r="Z63" s="1">
        <v>2016</v>
      </c>
      <c r="AA63" s="1"/>
    </row>
    <row r="64" spans="1:27" ht="25.5" x14ac:dyDescent="0.25">
      <c r="A64" s="1" t="s">
        <v>621</v>
      </c>
      <c r="B64" s="2" t="s">
        <v>31</v>
      </c>
      <c r="C64" s="2" t="s">
        <v>221</v>
      </c>
      <c r="D64" s="2" t="s">
        <v>222</v>
      </c>
      <c r="E64" s="2" t="s">
        <v>222</v>
      </c>
      <c r="F64" s="2" t="s">
        <v>223</v>
      </c>
      <c r="G64" s="2" t="s">
        <v>224</v>
      </c>
      <c r="H64" s="1"/>
      <c r="I64" s="1"/>
      <c r="J64" s="1" t="s">
        <v>49</v>
      </c>
      <c r="K64" s="3">
        <v>0</v>
      </c>
      <c r="L64" s="1">
        <v>710000000</v>
      </c>
      <c r="M64" s="1" t="s">
        <v>37</v>
      </c>
      <c r="N64" s="1" t="s">
        <v>102</v>
      </c>
      <c r="O64" s="1" t="s">
        <v>39</v>
      </c>
      <c r="P64" s="1" t="s">
        <v>40</v>
      </c>
      <c r="Q64" s="1" t="s">
        <v>41</v>
      </c>
      <c r="R64" s="1" t="s">
        <v>42</v>
      </c>
      <c r="S64" s="2" t="s">
        <v>57</v>
      </c>
      <c r="T64" s="2" t="s">
        <v>58</v>
      </c>
      <c r="U64" s="4">
        <v>9</v>
      </c>
      <c r="V64" s="13">
        <f>105/1.12</f>
        <v>93.749999999999986</v>
      </c>
      <c r="W64" s="13">
        <f t="shared" si="2"/>
        <v>843.74999999999989</v>
      </c>
      <c r="X64" s="13">
        <f t="shared" si="3"/>
        <v>945</v>
      </c>
      <c r="Y64" s="1"/>
      <c r="Z64" s="1">
        <v>2016</v>
      </c>
      <c r="AA64" s="1"/>
    </row>
    <row r="65" spans="1:27" ht="25.5" x14ac:dyDescent="0.25">
      <c r="A65" s="1" t="s">
        <v>622</v>
      </c>
      <c r="B65" s="2" t="s">
        <v>31</v>
      </c>
      <c r="C65" s="2" t="s">
        <v>225</v>
      </c>
      <c r="D65" s="2" t="s">
        <v>226</v>
      </c>
      <c r="E65" s="2" t="s">
        <v>227</v>
      </c>
      <c r="F65" s="2" t="s">
        <v>228</v>
      </c>
      <c r="G65" s="2" t="s">
        <v>229</v>
      </c>
      <c r="H65" s="1"/>
      <c r="I65" s="1"/>
      <c r="J65" s="1" t="s">
        <v>49</v>
      </c>
      <c r="K65" s="3">
        <v>0</v>
      </c>
      <c r="L65" s="1">
        <v>710000000</v>
      </c>
      <c r="M65" s="1" t="s">
        <v>37</v>
      </c>
      <c r="N65" s="1" t="s">
        <v>102</v>
      </c>
      <c r="O65" s="1" t="s">
        <v>39</v>
      </c>
      <c r="P65" s="1" t="s">
        <v>40</v>
      </c>
      <c r="Q65" s="1" t="s">
        <v>41</v>
      </c>
      <c r="R65" s="1" t="s">
        <v>42</v>
      </c>
      <c r="S65" s="2" t="s">
        <v>57</v>
      </c>
      <c r="T65" s="2" t="s">
        <v>58</v>
      </c>
      <c r="U65" s="4">
        <v>5</v>
      </c>
      <c r="V65" s="13">
        <f>140/1.12</f>
        <v>124.99999999999999</v>
      </c>
      <c r="W65" s="13">
        <f t="shared" si="2"/>
        <v>624.99999999999989</v>
      </c>
      <c r="X65" s="13">
        <f t="shared" si="3"/>
        <v>699.99999999999989</v>
      </c>
      <c r="Y65" s="1"/>
      <c r="Z65" s="1">
        <v>2016</v>
      </c>
      <c r="AA65" s="1"/>
    </row>
    <row r="66" spans="1:27" ht="25.5" x14ac:dyDescent="0.25">
      <c r="A66" s="1" t="s">
        <v>623</v>
      </c>
      <c r="B66" s="2" t="s">
        <v>31</v>
      </c>
      <c r="C66" s="2" t="s">
        <v>230</v>
      </c>
      <c r="D66" s="2" t="s">
        <v>231</v>
      </c>
      <c r="E66" s="2" t="s">
        <v>232</v>
      </c>
      <c r="F66" s="2" t="s">
        <v>233</v>
      </c>
      <c r="G66" s="2" t="s">
        <v>234</v>
      </c>
      <c r="H66" s="1"/>
      <c r="I66" s="1"/>
      <c r="J66" s="1" t="s">
        <v>49</v>
      </c>
      <c r="K66" s="3">
        <v>0</v>
      </c>
      <c r="L66" s="1">
        <v>710000000</v>
      </c>
      <c r="M66" s="1" t="s">
        <v>37</v>
      </c>
      <c r="N66" s="1" t="s">
        <v>102</v>
      </c>
      <c r="O66" s="1" t="s">
        <v>39</v>
      </c>
      <c r="P66" s="1" t="s">
        <v>40</v>
      </c>
      <c r="Q66" s="1" t="s">
        <v>41</v>
      </c>
      <c r="R66" s="1" t="s">
        <v>42</v>
      </c>
      <c r="S66" s="2" t="s">
        <v>57</v>
      </c>
      <c r="T66" s="2" t="s">
        <v>58</v>
      </c>
      <c r="U66" s="4">
        <v>17</v>
      </c>
      <c r="V66" s="13">
        <f>35/1.12</f>
        <v>31.249999999999996</v>
      </c>
      <c r="W66" s="13">
        <f t="shared" si="2"/>
        <v>531.24999999999989</v>
      </c>
      <c r="X66" s="13">
        <f t="shared" si="3"/>
        <v>594.99999999999989</v>
      </c>
      <c r="Y66" s="1"/>
      <c r="Z66" s="1">
        <v>2016</v>
      </c>
      <c r="AA66" s="1"/>
    </row>
    <row r="67" spans="1:27" ht="25.5" x14ac:dyDescent="0.25">
      <c r="A67" s="1" t="s">
        <v>624</v>
      </c>
      <c r="B67" s="2" t="s">
        <v>31</v>
      </c>
      <c r="C67" s="2" t="s">
        <v>235</v>
      </c>
      <c r="D67" s="2" t="s">
        <v>236</v>
      </c>
      <c r="E67" s="2" t="s">
        <v>236</v>
      </c>
      <c r="F67" s="2" t="s">
        <v>237</v>
      </c>
      <c r="G67" s="2" t="s">
        <v>238</v>
      </c>
      <c r="H67" s="1"/>
      <c r="I67" s="1"/>
      <c r="J67" s="2" t="s">
        <v>49</v>
      </c>
      <c r="K67" s="3">
        <v>0</v>
      </c>
      <c r="L67" s="1">
        <v>710000000</v>
      </c>
      <c r="M67" s="1" t="s">
        <v>37</v>
      </c>
      <c r="N67" s="1" t="s">
        <v>102</v>
      </c>
      <c r="O67" s="1" t="s">
        <v>39</v>
      </c>
      <c r="P67" s="1" t="s">
        <v>40</v>
      </c>
      <c r="Q67" s="1" t="s">
        <v>41</v>
      </c>
      <c r="R67" s="1" t="s">
        <v>42</v>
      </c>
      <c r="S67" s="2" t="s">
        <v>57</v>
      </c>
      <c r="T67" s="2" t="s">
        <v>58</v>
      </c>
      <c r="U67" s="4">
        <v>7</v>
      </c>
      <c r="V67" s="13">
        <f>650/1.12</f>
        <v>580.35714285714278</v>
      </c>
      <c r="W67" s="13">
        <f>U67*V67</f>
        <v>4062.4999999999995</v>
      </c>
      <c r="X67" s="13">
        <f t="shared" si="3"/>
        <v>4550</v>
      </c>
      <c r="Y67" s="1"/>
      <c r="Z67" s="1">
        <v>2016</v>
      </c>
      <c r="AA67" s="1"/>
    </row>
    <row r="68" spans="1:27" ht="25.5" x14ac:dyDescent="0.25">
      <c r="A68" s="1" t="s">
        <v>625</v>
      </c>
      <c r="B68" s="2" t="s">
        <v>31</v>
      </c>
      <c r="C68" s="2" t="s">
        <v>485</v>
      </c>
      <c r="D68" s="2" t="s">
        <v>236</v>
      </c>
      <c r="E68" s="2" t="s">
        <v>236</v>
      </c>
      <c r="F68" s="2" t="s">
        <v>486</v>
      </c>
      <c r="G68" s="2" t="s">
        <v>238</v>
      </c>
      <c r="H68" s="1"/>
      <c r="I68" s="1"/>
      <c r="J68" s="2" t="s">
        <v>49</v>
      </c>
      <c r="K68" s="3">
        <v>0</v>
      </c>
      <c r="L68" s="1">
        <v>710000000</v>
      </c>
      <c r="M68" s="1" t="s">
        <v>37</v>
      </c>
      <c r="N68" s="1" t="s">
        <v>102</v>
      </c>
      <c r="O68" s="1" t="s">
        <v>39</v>
      </c>
      <c r="P68" s="1" t="s">
        <v>40</v>
      </c>
      <c r="Q68" s="1" t="s">
        <v>41</v>
      </c>
      <c r="R68" s="1" t="s">
        <v>42</v>
      </c>
      <c r="S68" s="2" t="s">
        <v>57</v>
      </c>
      <c r="T68" s="2" t="s">
        <v>58</v>
      </c>
      <c r="U68" s="4">
        <v>10</v>
      </c>
      <c r="V68" s="13">
        <f>460/1.12</f>
        <v>410.71428571428567</v>
      </c>
      <c r="W68" s="13">
        <f>U68*V68</f>
        <v>4107.1428571428569</v>
      </c>
      <c r="X68" s="13">
        <f t="shared" ref="X68" si="12">W68*1.12</f>
        <v>4600</v>
      </c>
      <c r="Y68" s="1"/>
      <c r="Z68" s="1">
        <v>2016</v>
      </c>
      <c r="AA68" s="1"/>
    </row>
    <row r="69" spans="1:27" ht="25.5" x14ac:dyDescent="0.25">
      <c r="A69" s="1" t="s">
        <v>626</v>
      </c>
      <c r="B69" s="2" t="s">
        <v>31</v>
      </c>
      <c r="C69" s="2" t="s">
        <v>239</v>
      </c>
      <c r="D69" s="2" t="s">
        <v>240</v>
      </c>
      <c r="E69" s="2" t="s">
        <v>240</v>
      </c>
      <c r="F69" s="2" t="s">
        <v>241</v>
      </c>
      <c r="G69" s="2" t="s">
        <v>242</v>
      </c>
      <c r="H69" s="1"/>
      <c r="I69" s="1"/>
      <c r="J69" s="2" t="s">
        <v>49</v>
      </c>
      <c r="K69" s="3">
        <v>0</v>
      </c>
      <c r="L69" s="1">
        <v>710000000</v>
      </c>
      <c r="M69" s="1" t="s">
        <v>37</v>
      </c>
      <c r="N69" s="1" t="s">
        <v>102</v>
      </c>
      <c r="O69" s="1" t="s">
        <v>39</v>
      </c>
      <c r="P69" s="1" t="s">
        <v>40</v>
      </c>
      <c r="Q69" s="1" t="s">
        <v>41</v>
      </c>
      <c r="R69" s="1" t="s">
        <v>42</v>
      </c>
      <c r="S69" s="2" t="s">
        <v>193</v>
      </c>
      <c r="T69" s="2" t="s">
        <v>194</v>
      </c>
      <c r="U69" s="4">
        <v>17</v>
      </c>
      <c r="V69" s="13">
        <v>530</v>
      </c>
      <c r="W69" s="13">
        <f t="shared" si="2"/>
        <v>9010</v>
      </c>
      <c r="X69" s="13">
        <f t="shared" si="3"/>
        <v>10091.200000000001</v>
      </c>
      <c r="Y69" s="1"/>
      <c r="Z69" s="1">
        <v>2016</v>
      </c>
      <c r="AA69" s="1"/>
    </row>
    <row r="70" spans="1:27" ht="25.5" x14ac:dyDescent="0.25">
      <c r="A70" s="1" t="s">
        <v>627</v>
      </c>
      <c r="B70" s="2" t="s">
        <v>31</v>
      </c>
      <c r="C70" s="2" t="s">
        <v>243</v>
      </c>
      <c r="D70" s="2" t="s">
        <v>244</v>
      </c>
      <c r="E70" s="2" t="s">
        <v>245</v>
      </c>
      <c r="F70" s="2" t="s">
        <v>246</v>
      </c>
      <c r="G70" s="2" t="s">
        <v>247</v>
      </c>
      <c r="H70" s="1"/>
      <c r="I70" s="1"/>
      <c r="J70" s="2" t="s">
        <v>49</v>
      </c>
      <c r="K70" s="3">
        <v>0</v>
      </c>
      <c r="L70" s="1">
        <v>710000000</v>
      </c>
      <c r="M70" s="1" t="s">
        <v>37</v>
      </c>
      <c r="N70" s="1" t="s">
        <v>102</v>
      </c>
      <c r="O70" s="1" t="s">
        <v>39</v>
      </c>
      <c r="P70" s="1" t="s">
        <v>40</v>
      </c>
      <c r="Q70" s="1" t="s">
        <v>41</v>
      </c>
      <c r="R70" s="1" t="s">
        <v>42</v>
      </c>
      <c r="S70" s="2" t="s">
        <v>123</v>
      </c>
      <c r="T70" s="2" t="s">
        <v>124</v>
      </c>
      <c r="U70" s="4">
        <v>3</v>
      </c>
      <c r="V70" s="13">
        <v>7030</v>
      </c>
      <c r="W70" s="13">
        <f t="shared" si="2"/>
        <v>21090</v>
      </c>
      <c r="X70" s="13">
        <f t="shared" si="3"/>
        <v>23620.800000000003</v>
      </c>
      <c r="Y70" s="1"/>
      <c r="Z70" s="1">
        <v>2016</v>
      </c>
      <c r="AA70" s="1"/>
    </row>
    <row r="71" spans="1:27" ht="25.5" x14ac:dyDescent="0.25">
      <c r="A71" s="1" t="s">
        <v>628</v>
      </c>
      <c r="B71" s="2" t="s">
        <v>31</v>
      </c>
      <c r="C71" s="2" t="s">
        <v>248</v>
      </c>
      <c r="D71" s="2" t="s">
        <v>249</v>
      </c>
      <c r="E71" s="2" t="s">
        <v>250</v>
      </c>
      <c r="F71" s="2" t="s">
        <v>251</v>
      </c>
      <c r="G71" s="2" t="s">
        <v>252</v>
      </c>
      <c r="H71" s="1"/>
      <c r="I71" s="1"/>
      <c r="J71" s="2" t="s">
        <v>49</v>
      </c>
      <c r="K71" s="3">
        <v>0</v>
      </c>
      <c r="L71" s="1">
        <v>710000000</v>
      </c>
      <c r="M71" s="1" t="s">
        <v>37</v>
      </c>
      <c r="N71" s="1" t="s">
        <v>102</v>
      </c>
      <c r="O71" s="1" t="s">
        <v>39</v>
      </c>
      <c r="P71" s="1" t="s">
        <v>40</v>
      </c>
      <c r="Q71" s="1" t="s">
        <v>41</v>
      </c>
      <c r="R71" s="1" t="s">
        <v>42</v>
      </c>
      <c r="S71" s="2" t="s">
        <v>57</v>
      </c>
      <c r="T71" s="2" t="s">
        <v>58</v>
      </c>
      <c r="U71" s="4">
        <v>5</v>
      </c>
      <c r="V71" s="13">
        <f>70/1.12</f>
        <v>62.499999999999993</v>
      </c>
      <c r="W71" s="13">
        <f t="shared" si="2"/>
        <v>312.49999999999994</v>
      </c>
      <c r="X71" s="13">
        <f t="shared" si="3"/>
        <v>349.99999999999994</v>
      </c>
      <c r="Y71" s="1"/>
      <c r="Z71" s="1">
        <v>2016</v>
      </c>
      <c r="AA71" s="1"/>
    </row>
    <row r="72" spans="1:27" ht="25.5" x14ac:dyDescent="0.25">
      <c r="A72" s="1" t="s">
        <v>629</v>
      </c>
      <c r="B72" s="2" t="s">
        <v>31</v>
      </c>
      <c r="C72" s="2" t="s">
        <v>253</v>
      </c>
      <c r="D72" s="2" t="s">
        <v>254</v>
      </c>
      <c r="E72" s="2" t="s">
        <v>255</v>
      </c>
      <c r="F72" s="2" t="s">
        <v>256</v>
      </c>
      <c r="G72" s="2" t="s">
        <v>257</v>
      </c>
      <c r="H72" s="1"/>
      <c r="I72" s="1"/>
      <c r="J72" s="2" t="s">
        <v>49</v>
      </c>
      <c r="K72" s="3">
        <v>0</v>
      </c>
      <c r="L72" s="1">
        <v>710000000</v>
      </c>
      <c r="M72" s="1" t="s">
        <v>37</v>
      </c>
      <c r="N72" s="1" t="s">
        <v>102</v>
      </c>
      <c r="O72" s="1" t="s">
        <v>39</v>
      </c>
      <c r="P72" s="1" t="s">
        <v>40</v>
      </c>
      <c r="Q72" s="1" t="s">
        <v>41</v>
      </c>
      <c r="R72" s="1" t="s">
        <v>42</v>
      </c>
      <c r="S72" s="2" t="s">
        <v>57</v>
      </c>
      <c r="T72" s="2" t="s">
        <v>58</v>
      </c>
      <c r="U72" s="4">
        <v>6</v>
      </c>
      <c r="V72" s="13">
        <v>340</v>
      </c>
      <c r="W72" s="13">
        <f t="shared" si="2"/>
        <v>2040</v>
      </c>
      <c r="X72" s="13">
        <f t="shared" si="3"/>
        <v>2284.8000000000002</v>
      </c>
      <c r="Y72" s="1"/>
      <c r="Z72" s="1">
        <v>2016</v>
      </c>
      <c r="AA72" s="1"/>
    </row>
    <row r="73" spans="1:27" ht="60.75" customHeight="1" x14ac:dyDescent="0.25">
      <c r="A73" s="1" t="s">
        <v>630</v>
      </c>
      <c r="B73" s="2" t="s">
        <v>31</v>
      </c>
      <c r="C73" s="2" t="s">
        <v>258</v>
      </c>
      <c r="D73" s="2" t="s">
        <v>259</v>
      </c>
      <c r="E73" s="2" t="s">
        <v>259</v>
      </c>
      <c r="F73" s="2" t="s">
        <v>260</v>
      </c>
      <c r="G73" s="2" t="s">
        <v>261</v>
      </c>
      <c r="H73" s="1" t="s">
        <v>262</v>
      </c>
      <c r="I73" s="1" t="s">
        <v>263</v>
      </c>
      <c r="J73" s="1" t="s">
        <v>49</v>
      </c>
      <c r="K73" s="3">
        <v>0</v>
      </c>
      <c r="L73" s="1">
        <v>710000000</v>
      </c>
      <c r="M73" s="1" t="s">
        <v>37</v>
      </c>
      <c r="N73" s="1" t="s">
        <v>102</v>
      </c>
      <c r="O73" s="1" t="s">
        <v>39</v>
      </c>
      <c r="P73" s="1" t="s">
        <v>40</v>
      </c>
      <c r="Q73" s="1" t="s">
        <v>41</v>
      </c>
      <c r="R73" s="1" t="s">
        <v>42</v>
      </c>
      <c r="S73" s="2" t="s">
        <v>57</v>
      </c>
      <c r="T73" s="2" t="s">
        <v>58</v>
      </c>
      <c r="U73" s="4">
        <v>9</v>
      </c>
      <c r="V73" s="13">
        <v>2630</v>
      </c>
      <c r="W73" s="13">
        <f>U73*V73</f>
        <v>23670</v>
      </c>
      <c r="X73" s="13">
        <f>W73*1.12</f>
        <v>26510.400000000001</v>
      </c>
      <c r="Y73" s="1"/>
      <c r="Z73" s="1">
        <v>2016</v>
      </c>
      <c r="AA73" s="1"/>
    </row>
    <row r="74" spans="1:27" ht="25.5" x14ac:dyDescent="0.25">
      <c r="A74" s="1" t="s">
        <v>631</v>
      </c>
      <c r="B74" s="2" t="s">
        <v>31</v>
      </c>
      <c r="C74" s="2" t="s">
        <v>264</v>
      </c>
      <c r="D74" s="2" t="s">
        <v>265</v>
      </c>
      <c r="E74" s="2" t="s">
        <v>265</v>
      </c>
      <c r="F74" s="2" t="s">
        <v>266</v>
      </c>
      <c r="G74" s="2" t="s">
        <v>267</v>
      </c>
      <c r="H74" s="14" t="s">
        <v>268</v>
      </c>
      <c r="I74" s="14" t="s">
        <v>269</v>
      </c>
      <c r="J74" s="2" t="s">
        <v>49</v>
      </c>
      <c r="K74" s="3">
        <v>0.05</v>
      </c>
      <c r="L74" s="1">
        <v>710000000</v>
      </c>
      <c r="M74" s="1" t="s">
        <v>37</v>
      </c>
      <c r="N74" s="1" t="s">
        <v>102</v>
      </c>
      <c r="O74" s="1" t="s">
        <v>39</v>
      </c>
      <c r="P74" s="1" t="s">
        <v>40</v>
      </c>
      <c r="Q74" s="1" t="s">
        <v>41</v>
      </c>
      <c r="R74" s="1" t="s">
        <v>42</v>
      </c>
      <c r="S74" s="2" t="s">
        <v>57</v>
      </c>
      <c r="T74" s="2" t="s">
        <v>58</v>
      </c>
      <c r="U74" s="4">
        <v>51</v>
      </c>
      <c r="V74" s="13">
        <f>520/1.12</f>
        <v>464.28571428571422</v>
      </c>
      <c r="W74" s="13">
        <f>U74*V74</f>
        <v>23678.571428571424</v>
      </c>
      <c r="X74" s="13">
        <f>W74*1.12</f>
        <v>26519.999999999996</v>
      </c>
      <c r="Y74" s="1"/>
      <c r="Z74" s="1">
        <v>2016</v>
      </c>
      <c r="AA74" s="1"/>
    </row>
    <row r="75" spans="1:27" ht="25.5" x14ac:dyDescent="0.25">
      <c r="A75" s="1" t="s">
        <v>632</v>
      </c>
      <c r="B75" s="2" t="s">
        <v>31</v>
      </c>
      <c r="C75" s="2" t="s">
        <v>270</v>
      </c>
      <c r="D75" s="2" t="s">
        <v>265</v>
      </c>
      <c r="E75" s="2" t="s">
        <v>265</v>
      </c>
      <c r="F75" s="2" t="s">
        <v>271</v>
      </c>
      <c r="G75" s="2" t="s">
        <v>272</v>
      </c>
      <c r="H75" s="1"/>
      <c r="I75" s="1"/>
      <c r="J75" s="2" t="s">
        <v>49</v>
      </c>
      <c r="K75" s="3">
        <v>0</v>
      </c>
      <c r="L75" s="1">
        <v>710000000</v>
      </c>
      <c r="M75" s="1" t="s">
        <v>37</v>
      </c>
      <c r="N75" s="1" t="s">
        <v>102</v>
      </c>
      <c r="O75" s="1" t="s">
        <v>39</v>
      </c>
      <c r="P75" s="1" t="s">
        <v>40</v>
      </c>
      <c r="Q75" s="1" t="s">
        <v>41</v>
      </c>
      <c r="R75" s="1" t="s">
        <v>42</v>
      </c>
      <c r="S75" s="2" t="s">
        <v>57</v>
      </c>
      <c r="T75" s="2" t="s">
        <v>58</v>
      </c>
      <c r="U75" s="4">
        <v>17</v>
      </c>
      <c r="V75" s="13">
        <v>220</v>
      </c>
      <c r="W75" s="13">
        <f t="shared" si="2"/>
        <v>3740</v>
      </c>
      <c r="X75" s="13">
        <f t="shared" si="3"/>
        <v>4188.8</v>
      </c>
      <c r="Y75" s="1"/>
      <c r="Z75" s="1">
        <v>2016</v>
      </c>
      <c r="AA75" s="1"/>
    </row>
    <row r="76" spans="1:27" ht="25.5" x14ac:dyDescent="0.25">
      <c r="A76" s="1" t="s">
        <v>633</v>
      </c>
      <c r="B76" s="2" t="s">
        <v>31</v>
      </c>
      <c r="C76" s="2" t="s">
        <v>487</v>
      </c>
      <c r="D76" s="2" t="s">
        <v>265</v>
      </c>
      <c r="E76" s="2" t="s">
        <v>265</v>
      </c>
      <c r="F76" s="2" t="s">
        <v>488</v>
      </c>
      <c r="G76" s="2" t="s">
        <v>489</v>
      </c>
      <c r="H76" s="1"/>
      <c r="I76" s="1"/>
      <c r="J76" s="2" t="s">
        <v>49</v>
      </c>
      <c r="K76" s="3">
        <v>0</v>
      </c>
      <c r="L76" s="1">
        <v>710000000</v>
      </c>
      <c r="M76" s="1" t="s">
        <v>37</v>
      </c>
      <c r="N76" s="1" t="s">
        <v>102</v>
      </c>
      <c r="O76" s="1" t="s">
        <v>39</v>
      </c>
      <c r="P76" s="1" t="s">
        <v>40</v>
      </c>
      <c r="Q76" s="1" t="s">
        <v>41</v>
      </c>
      <c r="R76" s="1" t="s">
        <v>42</v>
      </c>
      <c r="S76" s="2" t="s">
        <v>57</v>
      </c>
      <c r="T76" s="2" t="s">
        <v>58</v>
      </c>
      <c r="U76" s="4">
        <v>17</v>
      </c>
      <c r="V76" s="13">
        <v>360</v>
      </c>
      <c r="W76" s="13">
        <f t="shared" si="2"/>
        <v>6120</v>
      </c>
      <c r="X76" s="13">
        <f t="shared" si="3"/>
        <v>6854.4000000000005</v>
      </c>
      <c r="Y76" s="1"/>
      <c r="Z76" s="1">
        <v>2016</v>
      </c>
      <c r="AA76" s="1"/>
    </row>
    <row r="77" spans="1:27" ht="25.5" x14ac:dyDescent="0.25">
      <c r="A77" s="1" t="s">
        <v>634</v>
      </c>
      <c r="B77" s="2" t="s">
        <v>31</v>
      </c>
      <c r="C77" s="2" t="s">
        <v>273</v>
      </c>
      <c r="D77" s="2" t="s">
        <v>265</v>
      </c>
      <c r="E77" s="2" t="s">
        <v>265</v>
      </c>
      <c r="F77" s="2" t="s">
        <v>274</v>
      </c>
      <c r="G77" s="2" t="s">
        <v>275</v>
      </c>
      <c r="H77" s="1" t="s">
        <v>276</v>
      </c>
      <c r="I77" s="1" t="s">
        <v>277</v>
      </c>
      <c r="J77" s="2" t="s">
        <v>49</v>
      </c>
      <c r="K77" s="3">
        <v>0</v>
      </c>
      <c r="L77" s="1">
        <v>710000000</v>
      </c>
      <c r="M77" s="1" t="s">
        <v>37</v>
      </c>
      <c r="N77" s="1" t="s">
        <v>102</v>
      </c>
      <c r="O77" s="1" t="s">
        <v>39</v>
      </c>
      <c r="P77" s="1" t="s">
        <v>40</v>
      </c>
      <c r="Q77" s="1" t="s">
        <v>41</v>
      </c>
      <c r="R77" s="1" t="s">
        <v>42</v>
      </c>
      <c r="S77" s="2" t="s">
        <v>57</v>
      </c>
      <c r="T77" s="2" t="s">
        <v>58</v>
      </c>
      <c r="U77" s="4">
        <v>3</v>
      </c>
      <c r="V77" s="13">
        <f>1655/1.12</f>
        <v>1477.6785714285713</v>
      </c>
      <c r="W77" s="13">
        <f t="shared" si="2"/>
        <v>4433.0357142857138</v>
      </c>
      <c r="X77" s="13">
        <f t="shared" si="3"/>
        <v>4965</v>
      </c>
      <c r="Y77" s="1"/>
      <c r="Z77" s="1">
        <v>2016</v>
      </c>
      <c r="AA77" s="1"/>
    </row>
    <row r="78" spans="1:27" ht="25.5" x14ac:dyDescent="0.25">
      <c r="A78" s="1" t="s">
        <v>635</v>
      </c>
      <c r="B78" s="2" t="s">
        <v>31</v>
      </c>
      <c r="C78" s="2" t="s">
        <v>278</v>
      </c>
      <c r="D78" s="2" t="s">
        <v>279</v>
      </c>
      <c r="E78" s="2" t="s">
        <v>280</v>
      </c>
      <c r="F78" s="2" t="s">
        <v>281</v>
      </c>
      <c r="G78" s="2" t="s">
        <v>282</v>
      </c>
      <c r="H78" s="1"/>
      <c r="I78" s="1"/>
      <c r="J78" s="2" t="s">
        <v>49</v>
      </c>
      <c r="K78" s="3">
        <v>0</v>
      </c>
      <c r="L78" s="1">
        <v>710000000</v>
      </c>
      <c r="M78" s="1" t="s">
        <v>37</v>
      </c>
      <c r="N78" s="1" t="s">
        <v>102</v>
      </c>
      <c r="O78" s="1" t="s">
        <v>39</v>
      </c>
      <c r="P78" s="1" t="s">
        <v>40</v>
      </c>
      <c r="Q78" s="1" t="s">
        <v>41</v>
      </c>
      <c r="R78" s="1" t="s">
        <v>42</v>
      </c>
      <c r="S78" s="2" t="s">
        <v>57</v>
      </c>
      <c r="T78" s="2" t="s">
        <v>58</v>
      </c>
      <c r="U78" s="4">
        <v>9</v>
      </c>
      <c r="V78" s="13">
        <f>2990/1.12</f>
        <v>2669.6428571428569</v>
      </c>
      <c r="W78" s="13">
        <f t="shared" si="2"/>
        <v>24026.78571428571</v>
      </c>
      <c r="X78" s="13">
        <f t="shared" si="3"/>
        <v>26909.999999999996</v>
      </c>
      <c r="Y78" s="1"/>
      <c r="Z78" s="1">
        <v>2016</v>
      </c>
      <c r="AA78" s="1"/>
    </row>
    <row r="79" spans="1:27" ht="25.5" x14ac:dyDescent="0.25">
      <c r="A79" s="1" t="s">
        <v>636</v>
      </c>
      <c r="B79" s="2" t="s">
        <v>31</v>
      </c>
      <c r="C79" s="2" t="s">
        <v>283</v>
      </c>
      <c r="D79" s="2" t="s">
        <v>284</v>
      </c>
      <c r="E79" s="2" t="s">
        <v>285</v>
      </c>
      <c r="F79" s="2" t="s">
        <v>286</v>
      </c>
      <c r="G79" s="2" t="s">
        <v>287</v>
      </c>
      <c r="H79" s="1"/>
      <c r="I79" s="1"/>
      <c r="J79" s="2" t="s">
        <v>49</v>
      </c>
      <c r="K79" s="3">
        <v>0</v>
      </c>
      <c r="L79" s="1">
        <v>710000000</v>
      </c>
      <c r="M79" s="1" t="s">
        <v>37</v>
      </c>
      <c r="N79" s="1" t="s">
        <v>102</v>
      </c>
      <c r="O79" s="1" t="s">
        <v>39</v>
      </c>
      <c r="P79" s="1" t="s">
        <v>40</v>
      </c>
      <c r="Q79" s="1" t="s">
        <v>41</v>
      </c>
      <c r="R79" s="1" t="s">
        <v>42</v>
      </c>
      <c r="S79" s="2" t="s">
        <v>57</v>
      </c>
      <c r="T79" s="2" t="s">
        <v>58</v>
      </c>
      <c r="U79" s="4">
        <v>85</v>
      </c>
      <c r="V79" s="13">
        <f>30/1.12</f>
        <v>26.785714285714285</v>
      </c>
      <c r="W79" s="13">
        <f t="shared" si="2"/>
        <v>2276.7857142857142</v>
      </c>
      <c r="X79" s="13">
        <f t="shared" si="3"/>
        <v>2550</v>
      </c>
      <c r="Y79" s="1"/>
      <c r="Z79" s="1">
        <v>2016</v>
      </c>
      <c r="AA79" s="1"/>
    </row>
    <row r="80" spans="1:27" ht="25.5" x14ac:dyDescent="0.25">
      <c r="A80" s="1" t="s">
        <v>637</v>
      </c>
      <c r="B80" s="2" t="s">
        <v>31</v>
      </c>
      <c r="C80" s="2" t="s">
        <v>288</v>
      </c>
      <c r="D80" s="2" t="s">
        <v>284</v>
      </c>
      <c r="E80" s="2" t="s">
        <v>285</v>
      </c>
      <c r="F80" s="2" t="s">
        <v>289</v>
      </c>
      <c r="G80" s="2" t="s">
        <v>290</v>
      </c>
      <c r="H80" s="1"/>
      <c r="I80" s="1"/>
      <c r="J80" s="2" t="s">
        <v>49</v>
      </c>
      <c r="K80" s="3">
        <v>0</v>
      </c>
      <c r="L80" s="1">
        <v>710000000</v>
      </c>
      <c r="M80" s="1" t="s">
        <v>37</v>
      </c>
      <c r="N80" s="1" t="s">
        <v>102</v>
      </c>
      <c r="O80" s="1" t="s">
        <v>39</v>
      </c>
      <c r="P80" s="1" t="s">
        <v>40</v>
      </c>
      <c r="Q80" s="1" t="s">
        <v>41</v>
      </c>
      <c r="R80" s="1" t="s">
        <v>42</v>
      </c>
      <c r="S80" s="2" t="s">
        <v>57</v>
      </c>
      <c r="T80" s="2" t="s">
        <v>58</v>
      </c>
      <c r="U80" s="4">
        <v>3</v>
      </c>
      <c r="V80" s="13">
        <v>40</v>
      </c>
      <c r="W80" s="13">
        <f t="shared" si="2"/>
        <v>120</v>
      </c>
      <c r="X80" s="13">
        <f t="shared" si="3"/>
        <v>134.4</v>
      </c>
      <c r="Y80" s="1"/>
      <c r="Z80" s="1">
        <v>2016</v>
      </c>
      <c r="AA80" s="1"/>
    </row>
    <row r="81" spans="1:27" ht="25.5" x14ac:dyDescent="0.25">
      <c r="A81" s="1" t="s">
        <v>638</v>
      </c>
      <c r="B81" s="2" t="s">
        <v>31</v>
      </c>
      <c r="C81" s="2" t="s">
        <v>291</v>
      </c>
      <c r="D81" s="2" t="s">
        <v>265</v>
      </c>
      <c r="E81" s="2" t="s">
        <v>265</v>
      </c>
      <c r="F81" s="2" t="s">
        <v>292</v>
      </c>
      <c r="G81" s="2" t="s">
        <v>293</v>
      </c>
      <c r="H81" s="1"/>
      <c r="I81" s="1"/>
      <c r="J81" s="2" t="s">
        <v>49</v>
      </c>
      <c r="K81" s="3">
        <v>0</v>
      </c>
      <c r="L81" s="1">
        <v>710000000</v>
      </c>
      <c r="M81" s="1" t="s">
        <v>37</v>
      </c>
      <c r="N81" s="1" t="s">
        <v>102</v>
      </c>
      <c r="O81" s="1" t="s">
        <v>39</v>
      </c>
      <c r="P81" s="1" t="s">
        <v>40</v>
      </c>
      <c r="Q81" s="1" t="s">
        <v>41</v>
      </c>
      <c r="R81" s="1" t="s">
        <v>42</v>
      </c>
      <c r="S81" s="2" t="s">
        <v>57</v>
      </c>
      <c r="T81" s="2" t="s">
        <v>58</v>
      </c>
      <c r="U81" s="4">
        <v>17</v>
      </c>
      <c r="V81" s="13">
        <f>40/1.12</f>
        <v>35.714285714285708</v>
      </c>
      <c r="W81" s="13">
        <f t="shared" si="2"/>
        <v>607.142857142857</v>
      </c>
      <c r="X81" s="13">
        <f t="shared" si="3"/>
        <v>679.99999999999989</v>
      </c>
      <c r="Y81" s="1"/>
      <c r="Z81" s="1">
        <v>2016</v>
      </c>
      <c r="AA81" s="1"/>
    </row>
    <row r="82" spans="1:27" ht="51" x14ac:dyDescent="0.25">
      <c r="A82" s="1" t="s">
        <v>639</v>
      </c>
      <c r="B82" s="2" t="s">
        <v>31</v>
      </c>
      <c r="C82" s="2" t="s">
        <v>294</v>
      </c>
      <c r="D82" s="2" t="s">
        <v>295</v>
      </c>
      <c r="E82" s="2" t="s">
        <v>296</v>
      </c>
      <c r="F82" s="2" t="s">
        <v>297</v>
      </c>
      <c r="G82" s="2" t="s">
        <v>298</v>
      </c>
      <c r="H82" s="2" t="s">
        <v>494</v>
      </c>
      <c r="I82" s="2" t="s">
        <v>495</v>
      </c>
      <c r="J82" s="2" t="s">
        <v>49</v>
      </c>
      <c r="K82" s="3">
        <v>0</v>
      </c>
      <c r="L82" s="1">
        <v>710000000</v>
      </c>
      <c r="M82" s="1" t="s">
        <v>37</v>
      </c>
      <c r="N82" s="1" t="s">
        <v>102</v>
      </c>
      <c r="O82" s="1" t="s">
        <v>39</v>
      </c>
      <c r="P82" s="1" t="s">
        <v>40</v>
      </c>
      <c r="Q82" s="1" t="s">
        <v>41</v>
      </c>
      <c r="R82" s="1" t="s">
        <v>42</v>
      </c>
      <c r="S82" s="2" t="s">
        <v>193</v>
      </c>
      <c r="T82" s="2" t="s">
        <v>194</v>
      </c>
      <c r="U82" s="4">
        <v>17</v>
      </c>
      <c r="V82" s="13">
        <f>85/1.12</f>
        <v>75.892857142857139</v>
      </c>
      <c r="W82" s="13">
        <f t="shared" si="2"/>
        <v>1290.1785714285713</v>
      </c>
      <c r="X82" s="13">
        <f t="shared" si="3"/>
        <v>1445</v>
      </c>
      <c r="Y82" s="1"/>
      <c r="Z82" s="1">
        <v>2016</v>
      </c>
      <c r="AA82" s="1"/>
    </row>
    <row r="83" spans="1:27" ht="25.5" x14ac:dyDescent="0.25">
      <c r="A83" s="1" t="s">
        <v>640</v>
      </c>
      <c r="B83" s="2" t="s">
        <v>31</v>
      </c>
      <c r="C83" s="2" t="s">
        <v>299</v>
      </c>
      <c r="D83" s="2" t="s">
        <v>300</v>
      </c>
      <c r="E83" s="2" t="s">
        <v>301</v>
      </c>
      <c r="F83" s="2" t="s">
        <v>302</v>
      </c>
      <c r="G83" s="2" t="s">
        <v>303</v>
      </c>
      <c r="H83" s="1"/>
      <c r="I83" s="1"/>
      <c r="J83" s="2" t="s">
        <v>49</v>
      </c>
      <c r="K83" s="3">
        <v>0</v>
      </c>
      <c r="L83" s="1">
        <v>710000000</v>
      </c>
      <c r="M83" s="1" t="s">
        <v>37</v>
      </c>
      <c r="N83" s="1" t="s">
        <v>102</v>
      </c>
      <c r="O83" s="1" t="s">
        <v>39</v>
      </c>
      <c r="P83" s="1" t="s">
        <v>40</v>
      </c>
      <c r="Q83" s="1" t="s">
        <v>41</v>
      </c>
      <c r="R83" s="1" t="s">
        <v>42</v>
      </c>
      <c r="S83" s="2" t="s">
        <v>57</v>
      </c>
      <c r="T83" s="2" t="s">
        <v>58</v>
      </c>
      <c r="U83" s="4">
        <v>9</v>
      </c>
      <c r="V83" s="13">
        <f>240/1.12</f>
        <v>214.28571428571428</v>
      </c>
      <c r="W83" s="13">
        <f t="shared" si="2"/>
        <v>1928.5714285714284</v>
      </c>
      <c r="X83" s="13">
        <f t="shared" si="3"/>
        <v>2160</v>
      </c>
      <c r="Y83" s="1"/>
      <c r="Z83" s="1">
        <v>2016</v>
      </c>
      <c r="AA83" s="1"/>
    </row>
    <row r="84" spans="1:27" ht="38.25" x14ac:dyDescent="0.25">
      <c r="A84" s="1" t="s">
        <v>641</v>
      </c>
      <c r="B84" s="2" t="s">
        <v>31</v>
      </c>
      <c r="C84" s="2" t="s">
        <v>490</v>
      </c>
      <c r="D84" s="2" t="s">
        <v>304</v>
      </c>
      <c r="E84" s="2" t="s">
        <v>305</v>
      </c>
      <c r="F84" s="2" t="s">
        <v>491</v>
      </c>
      <c r="G84" s="2" t="s">
        <v>492</v>
      </c>
      <c r="H84" s="2" t="s">
        <v>496</v>
      </c>
      <c r="I84" s="2" t="s">
        <v>497</v>
      </c>
      <c r="J84" s="2" t="s">
        <v>49</v>
      </c>
      <c r="K84" s="3">
        <v>0</v>
      </c>
      <c r="L84" s="1">
        <v>710000000</v>
      </c>
      <c r="M84" s="1" t="s">
        <v>37</v>
      </c>
      <c r="N84" s="1" t="s">
        <v>102</v>
      </c>
      <c r="O84" s="1" t="s">
        <v>39</v>
      </c>
      <c r="P84" s="1" t="s">
        <v>40</v>
      </c>
      <c r="Q84" s="1" t="s">
        <v>41</v>
      </c>
      <c r="R84" s="1" t="s">
        <v>42</v>
      </c>
      <c r="S84" s="2">
        <v>778</v>
      </c>
      <c r="T84" s="2" t="s">
        <v>483</v>
      </c>
      <c r="U84" s="4">
        <v>17</v>
      </c>
      <c r="V84" s="13">
        <v>85</v>
      </c>
      <c r="W84" s="13">
        <f t="shared" si="2"/>
        <v>1445</v>
      </c>
      <c r="X84" s="13">
        <f t="shared" si="3"/>
        <v>1618.4</v>
      </c>
      <c r="Y84" s="1"/>
      <c r="Z84" s="1">
        <v>2016</v>
      </c>
      <c r="AA84" s="1"/>
    </row>
    <row r="85" spans="1:27" ht="25.5" x14ac:dyDescent="0.25">
      <c r="A85" s="1" t="s">
        <v>642</v>
      </c>
      <c r="B85" s="2" t="s">
        <v>31</v>
      </c>
      <c r="C85" s="2" t="s">
        <v>306</v>
      </c>
      <c r="D85" s="2" t="s">
        <v>307</v>
      </c>
      <c r="E85" s="2" t="s">
        <v>307</v>
      </c>
      <c r="F85" s="2" t="s">
        <v>195</v>
      </c>
      <c r="G85" s="2" t="s">
        <v>196</v>
      </c>
      <c r="H85" s="1" t="s">
        <v>493</v>
      </c>
      <c r="I85" s="1" t="s">
        <v>493</v>
      </c>
      <c r="J85" s="2" t="s">
        <v>49</v>
      </c>
      <c r="K85" s="3">
        <v>0</v>
      </c>
      <c r="L85" s="1">
        <v>710000000</v>
      </c>
      <c r="M85" s="1" t="s">
        <v>37</v>
      </c>
      <c r="N85" s="1" t="s">
        <v>102</v>
      </c>
      <c r="O85" s="1" t="s">
        <v>39</v>
      </c>
      <c r="P85" s="1" t="s">
        <v>40</v>
      </c>
      <c r="Q85" s="1" t="s">
        <v>41</v>
      </c>
      <c r="R85" s="1" t="s">
        <v>42</v>
      </c>
      <c r="S85" s="2" t="s">
        <v>57</v>
      </c>
      <c r="T85" s="2" t="s">
        <v>58</v>
      </c>
      <c r="U85" s="4">
        <v>17</v>
      </c>
      <c r="V85" s="13">
        <f>1150/1.12</f>
        <v>1026.7857142857142</v>
      </c>
      <c r="W85" s="13">
        <f t="shared" si="2"/>
        <v>17455.357142857141</v>
      </c>
      <c r="X85" s="13">
        <f t="shared" si="3"/>
        <v>19550</v>
      </c>
      <c r="Y85" s="1"/>
      <c r="Z85" s="1">
        <v>2016</v>
      </c>
      <c r="AA85" s="1"/>
    </row>
    <row r="86" spans="1:27" ht="25.5" x14ac:dyDescent="0.25">
      <c r="A86" s="1" t="s">
        <v>643</v>
      </c>
      <c r="B86" s="2" t="s">
        <v>31</v>
      </c>
      <c r="C86" s="2" t="s">
        <v>308</v>
      </c>
      <c r="D86" s="2" t="s">
        <v>309</v>
      </c>
      <c r="E86" s="2" t="s">
        <v>309</v>
      </c>
      <c r="F86" s="2" t="s">
        <v>310</v>
      </c>
      <c r="G86" s="2" t="s">
        <v>311</v>
      </c>
      <c r="H86" s="14" t="s">
        <v>312</v>
      </c>
      <c r="I86" s="14" t="s">
        <v>313</v>
      </c>
      <c r="J86" s="2" t="s">
        <v>49</v>
      </c>
      <c r="K86" s="3">
        <v>0</v>
      </c>
      <c r="L86" s="1">
        <v>710000000</v>
      </c>
      <c r="M86" s="1" t="s">
        <v>37</v>
      </c>
      <c r="N86" s="1" t="s">
        <v>102</v>
      </c>
      <c r="O86" s="1" t="s">
        <v>39</v>
      </c>
      <c r="P86" s="1" t="s">
        <v>40</v>
      </c>
      <c r="Q86" s="1" t="s">
        <v>41</v>
      </c>
      <c r="R86" s="1" t="s">
        <v>42</v>
      </c>
      <c r="S86" s="2" t="s">
        <v>193</v>
      </c>
      <c r="T86" s="2" t="s">
        <v>194</v>
      </c>
      <c r="U86" s="4">
        <v>51</v>
      </c>
      <c r="V86" s="13">
        <v>120</v>
      </c>
      <c r="W86" s="13">
        <f>U86*V86</f>
        <v>6120</v>
      </c>
      <c r="X86" s="13">
        <f>W86*1.12</f>
        <v>6854.4000000000005</v>
      </c>
      <c r="Y86" s="1"/>
      <c r="Z86" s="1">
        <v>2016</v>
      </c>
      <c r="AA86" s="1"/>
    </row>
    <row r="87" spans="1:27" ht="25.5" x14ac:dyDescent="0.25">
      <c r="A87" s="1" t="s">
        <v>644</v>
      </c>
      <c r="B87" s="2" t="s">
        <v>31</v>
      </c>
      <c r="C87" s="1" t="s">
        <v>314</v>
      </c>
      <c r="D87" s="1" t="s">
        <v>315</v>
      </c>
      <c r="E87" s="2" t="s">
        <v>316</v>
      </c>
      <c r="F87" s="2" t="s">
        <v>317</v>
      </c>
      <c r="G87" s="2" t="s">
        <v>318</v>
      </c>
      <c r="H87" s="14"/>
      <c r="I87" s="14"/>
      <c r="J87" s="2" t="s">
        <v>49</v>
      </c>
      <c r="K87" s="3">
        <v>0</v>
      </c>
      <c r="L87" s="1">
        <v>710000000</v>
      </c>
      <c r="M87" s="1" t="s">
        <v>37</v>
      </c>
      <c r="N87" s="1" t="s">
        <v>102</v>
      </c>
      <c r="O87" s="1" t="s">
        <v>39</v>
      </c>
      <c r="P87" s="1" t="s">
        <v>40</v>
      </c>
      <c r="Q87" s="1" t="s">
        <v>41</v>
      </c>
      <c r="R87" s="1" t="s">
        <v>42</v>
      </c>
      <c r="S87" s="2" t="s">
        <v>57</v>
      </c>
      <c r="T87" s="2" t="s">
        <v>58</v>
      </c>
      <c r="U87" s="4">
        <v>100</v>
      </c>
      <c r="V87" s="13">
        <v>20</v>
      </c>
      <c r="W87" s="13">
        <f>U87*V87</f>
        <v>2000</v>
      </c>
      <c r="X87" s="13">
        <f>W87*1.12</f>
        <v>2240</v>
      </c>
      <c r="Y87" s="1"/>
      <c r="Z87" s="1">
        <v>2016</v>
      </c>
      <c r="AA87" s="1"/>
    </row>
    <row r="88" spans="1:27" ht="25.5" x14ac:dyDescent="0.25">
      <c r="A88" s="1" t="s">
        <v>645</v>
      </c>
      <c r="B88" s="2" t="s">
        <v>31</v>
      </c>
      <c r="C88" s="2" t="s">
        <v>319</v>
      </c>
      <c r="D88" s="2" t="s">
        <v>320</v>
      </c>
      <c r="E88" s="2" t="s">
        <v>321</v>
      </c>
      <c r="F88" s="2" t="s">
        <v>322</v>
      </c>
      <c r="G88" s="2" t="s">
        <v>323</v>
      </c>
      <c r="H88" s="1"/>
      <c r="I88" s="1"/>
      <c r="J88" s="2" t="s">
        <v>49</v>
      </c>
      <c r="K88" s="3">
        <v>0</v>
      </c>
      <c r="L88" s="1">
        <v>710000000</v>
      </c>
      <c r="M88" s="1" t="s">
        <v>37</v>
      </c>
      <c r="N88" s="1" t="s">
        <v>102</v>
      </c>
      <c r="O88" s="1" t="s">
        <v>39</v>
      </c>
      <c r="P88" s="1" t="s">
        <v>40</v>
      </c>
      <c r="Q88" s="1" t="s">
        <v>41</v>
      </c>
      <c r="R88" s="1" t="s">
        <v>42</v>
      </c>
      <c r="S88" s="2" t="s">
        <v>57</v>
      </c>
      <c r="T88" s="2" t="s">
        <v>58</v>
      </c>
      <c r="U88" s="4">
        <v>1</v>
      </c>
      <c r="V88" s="13">
        <f>645/1.12</f>
        <v>575.89285714285711</v>
      </c>
      <c r="W88" s="13">
        <f t="shared" si="2"/>
        <v>575.89285714285711</v>
      </c>
      <c r="X88" s="13">
        <f t="shared" si="3"/>
        <v>645</v>
      </c>
      <c r="Y88" s="1"/>
      <c r="Z88" s="1">
        <v>2016</v>
      </c>
      <c r="AA88" s="1"/>
    </row>
    <row r="89" spans="1:27" ht="51" x14ac:dyDescent="0.25">
      <c r="A89" s="1" t="s">
        <v>646</v>
      </c>
      <c r="B89" s="2" t="s">
        <v>31</v>
      </c>
      <c r="C89" s="2" t="s">
        <v>324</v>
      </c>
      <c r="D89" s="2" t="s">
        <v>325</v>
      </c>
      <c r="E89" s="2" t="s">
        <v>326</v>
      </c>
      <c r="F89" s="2" t="s">
        <v>327</v>
      </c>
      <c r="G89" s="2" t="s">
        <v>328</v>
      </c>
      <c r="H89" s="14" t="s">
        <v>329</v>
      </c>
      <c r="I89" s="14" t="s">
        <v>330</v>
      </c>
      <c r="J89" s="2" t="s">
        <v>423</v>
      </c>
      <c r="K89" s="3">
        <v>0.05</v>
      </c>
      <c r="L89" s="1">
        <v>115420100</v>
      </c>
      <c r="M89" s="1" t="s">
        <v>37</v>
      </c>
      <c r="N89" s="1" t="s">
        <v>38</v>
      </c>
      <c r="O89" s="1" t="s">
        <v>361</v>
      </c>
      <c r="P89" s="1" t="s">
        <v>40</v>
      </c>
      <c r="Q89" s="1" t="s">
        <v>422</v>
      </c>
      <c r="R89" s="1" t="s">
        <v>82</v>
      </c>
      <c r="S89" s="2" t="s">
        <v>57</v>
      </c>
      <c r="T89" s="2" t="s">
        <v>58</v>
      </c>
      <c r="U89" s="4">
        <v>1</v>
      </c>
      <c r="V89" s="13">
        <v>10180000</v>
      </c>
      <c r="W89" s="13">
        <f t="shared" ref="W89:W95" si="13">U89*V89</f>
        <v>10180000</v>
      </c>
      <c r="X89" s="13">
        <f>W89*1</f>
        <v>10180000</v>
      </c>
      <c r="Y89" s="1" t="s">
        <v>83</v>
      </c>
      <c r="Z89" s="1">
        <v>2016</v>
      </c>
      <c r="AA89" s="1" t="s">
        <v>421</v>
      </c>
    </row>
    <row r="90" spans="1:27" ht="25.5" x14ac:dyDescent="0.25">
      <c r="A90" s="1" t="s">
        <v>647</v>
      </c>
      <c r="B90" s="2" t="s">
        <v>31</v>
      </c>
      <c r="C90" s="2" t="s">
        <v>333</v>
      </c>
      <c r="D90" s="2" t="s">
        <v>334</v>
      </c>
      <c r="E90" s="2" t="s">
        <v>334</v>
      </c>
      <c r="F90" s="2" t="s">
        <v>335</v>
      </c>
      <c r="G90" s="2" t="s">
        <v>336</v>
      </c>
      <c r="H90" s="14" t="s">
        <v>337</v>
      </c>
      <c r="I90" s="14" t="s">
        <v>338</v>
      </c>
      <c r="J90" s="1" t="s">
        <v>36</v>
      </c>
      <c r="K90" s="3">
        <v>0</v>
      </c>
      <c r="L90" s="1">
        <v>710000000</v>
      </c>
      <c r="M90" s="1" t="s">
        <v>37</v>
      </c>
      <c r="N90" s="1" t="s">
        <v>102</v>
      </c>
      <c r="O90" s="1" t="s">
        <v>39</v>
      </c>
      <c r="P90" s="1" t="s">
        <v>40</v>
      </c>
      <c r="Q90" s="1" t="s">
        <v>41</v>
      </c>
      <c r="R90" s="1" t="s">
        <v>332</v>
      </c>
      <c r="S90" s="2" t="s">
        <v>57</v>
      </c>
      <c r="T90" s="2" t="s">
        <v>58</v>
      </c>
      <c r="U90" s="4">
        <v>1</v>
      </c>
      <c r="V90" s="13">
        <v>4450000</v>
      </c>
      <c r="W90" s="13">
        <f t="shared" si="13"/>
        <v>4450000</v>
      </c>
      <c r="X90" s="13">
        <f t="shared" ref="X90:X95" si="14">W90*1.12</f>
        <v>4984000.0000000009</v>
      </c>
      <c r="Y90" s="1"/>
      <c r="Z90" s="1">
        <v>2016</v>
      </c>
      <c r="AA90" s="1"/>
    </row>
    <row r="91" spans="1:27" ht="25.5" x14ac:dyDescent="0.25">
      <c r="A91" s="1" t="s">
        <v>648</v>
      </c>
      <c r="B91" s="2" t="s">
        <v>31</v>
      </c>
      <c r="C91" s="2" t="s">
        <v>507</v>
      </c>
      <c r="D91" s="2" t="s">
        <v>508</v>
      </c>
      <c r="E91" s="2" t="s">
        <v>672</v>
      </c>
      <c r="F91" s="2" t="s">
        <v>509</v>
      </c>
      <c r="G91" s="2" t="s">
        <v>673</v>
      </c>
      <c r="H91" s="14"/>
      <c r="I91" s="14"/>
      <c r="J91" s="1" t="s">
        <v>49</v>
      </c>
      <c r="K91" s="3">
        <v>0</v>
      </c>
      <c r="L91" s="1">
        <v>710000000</v>
      </c>
      <c r="M91" s="1" t="s">
        <v>37</v>
      </c>
      <c r="N91" s="1" t="s">
        <v>102</v>
      </c>
      <c r="O91" s="1" t="s">
        <v>39</v>
      </c>
      <c r="P91" s="1" t="s">
        <v>40</v>
      </c>
      <c r="Q91" s="1" t="s">
        <v>41</v>
      </c>
      <c r="R91" s="1" t="s">
        <v>42</v>
      </c>
      <c r="S91" s="2" t="s">
        <v>57</v>
      </c>
      <c r="T91" s="2" t="s">
        <v>58</v>
      </c>
      <c r="U91" s="4">
        <v>5</v>
      </c>
      <c r="V91" s="13">
        <f>4400/1.12</f>
        <v>3928.571428571428</v>
      </c>
      <c r="W91" s="13">
        <f t="shared" si="13"/>
        <v>19642.857142857141</v>
      </c>
      <c r="X91" s="13">
        <f t="shared" si="14"/>
        <v>22000</v>
      </c>
      <c r="Y91" s="1"/>
      <c r="Z91" s="1">
        <v>2016</v>
      </c>
      <c r="AA91" s="1"/>
    </row>
    <row r="92" spans="1:27" ht="25.5" x14ac:dyDescent="0.25">
      <c r="A92" s="1" t="s">
        <v>649</v>
      </c>
      <c r="B92" s="2" t="s">
        <v>31</v>
      </c>
      <c r="C92" s="2" t="s">
        <v>510</v>
      </c>
      <c r="D92" s="2" t="s">
        <v>511</v>
      </c>
      <c r="E92" s="2" t="s">
        <v>674</v>
      </c>
      <c r="F92" s="2" t="s">
        <v>512</v>
      </c>
      <c r="G92" s="2" t="s">
        <v>675</v>
      </c>
      <c r="H92" s="14"/>
      <c r="I92" s="14"/>
      <c r="J92" s="1" t="s">
        <v>49</v>
      </c>
      <c r="K92" s="3">
        <v>0</v>
      </c>
      <c r="L92" s="1">
        <v>710000000</v>
      </c>
      <c r="M92" s="1" t="s">
        <v>37</v>
      </c>
      <c r="N92" s="1" t="s">
        <v>102</v>
      </c>
      <c r="O92" s="1" t="s">
        <v>39</v>
      </c>
      <c r="P92" s="1" t="s">
        <v>40</v>
      </c>
      <c r="Q92" s="1" t="s">
        <v>41</v>
      </c>
      <c r="R92" s="1" t="s">
        <v>42</v>
      </c>
      <c r="S92" s="2" t="s">
        <v>57</v>
      </c>
      <c r="T92" s="2" t="s">
        <v>58</v>
      </c>
      <c r="U92" s="4">
        <v>1</v>
      </c>
      <c r="V92" s="13">
        <v>12000</v>
      </c>
      <c r="W92" s="13">
        <f t="shared" si="13"/>
        <v>12000</v>
      </c>
      <c r="X92" s="13">
        <f t="shared" si="14"/>
        <v>13440.000000000002</v>
      </c>
      <c r="Y92" s="1"/>
      <c r="Z92" s="1">
        <v>2016</v>
      </c>
      <c r="AA92" s="1"/>
    </row>
    <row r="93" spans="1:27" ht="25.5" x14ac:dyDescent="0.25">
      <c r="A93" s="1" t="s">
        <v>668</v>
      </c>
      <c r="B93" s="2" t="s">
        <v>31</v>
      </c>
      <c r="C93" s="2" t="s">
        <v>554</v>
      </c>
      <c r="D93" s="2" t="s">
        <v>513</v>
      </c>
      <c r="E93" s="2" t="s">
        <v>676</v>
      </c>
      <c r="F93" s="2" t="s">
        <v>555</v>
      </c>
      <c r="G93" s="2" t="s">
        <v>677</v>
      </c>
      <c r="H93" s="14"/>
      <c r="I93" s="14"/>
      <c r="J93" s="1" t="s">
        <v>49</v>
      </c>
      <c r="K93" s="3">
        <v>0</v>
      </c>
      <c r="L93" s="1">
        <v>710000000</v>
      </c>
      <c r="M93" s="1" t="s">
        <v>37</v>
      </c>
      <c r="N93" s="1" t="s">
        <v>102</v>
      </c>
      <c r="O93" s="1" t="s">
        <v>39</v>
      </c>
      <c r="P93" s="1" t="s">
        <v>40</v>
      </c>
      <c r="Q93" s="1" t="s">
        <v>41</v>
      </c>
      <c r="R93" s="1" t="s">
        <v>42</v>
      </c>
      <c r="S93" s="2" t="s">
        <v>57</v>
      </c>
      <c r="T93" s="2" t="s">
        <v>58</v>
      </c>
      <c r="U93" s="4">
        <v>1</v>
      </c>
      <c r="V93" s="13">
        <f>220000/1.12</f>
        <v>196428.57142857142</v>
      </c>
      <c r="W93" s="13">
        <f t="shared" si="13"/>
        <v>196428.57142857142</v>
      </c>
      <c r="X93" s="13">
        <f t="shared" si="14"/>
        <v>220000</v>
      </c>
      <c r="Y93" s="1"/>
      <c r="Z93" s="1">
        <v>2016</v>
      </c>
      <c r="AA93" s="1"/>
    </row>
    <row r="94" spans="1:27" ht="25.5" x14ac:dyDescent="0.25">
      <c r="A94" s="1" t="s">
        <v>701</v>
      </c>
      <c r="B94" s="2" t="s">
        <v>31</v>
      </c>
      <c r="C94" s="2" t="s">
        <v>702</v>
      </c>
      <c r="D94" s="2" t="s">
        <v>703</v>
      </c>
      <c r="E94" s="2" t="s">
        <v>710</v>
      </c>
      <c r="F94" s="2" t="s">
        <v>704</v>
      </c>
      <c r="G94" s="2" t="s">
        <v>711</v>
      </c>
      <c r="H94" s="14" t="s">
        <v>714</v>
      </c>
      <c r="I94" s="14" t="s">
        <v>715</v>
      </c>
      <c r="J94" s="1" t="s">
        <v>49</v>
      </c>
      <c r="K94" s="3">
        <v>0</v>
      </c>
      <c r="L94" s="1">
        <v>710000000</v>
      </c>
      <c r="M94" s="1" t="s">
        <v>37</v>
      </c>
      <c r="N94" s="1" t="s">
        <v>700</v>
      </c>
      <c r="O94" s="1" t="s">
        <v>39</v>
      </c>
      <c r="P94" s="1" t="s">
        <v>40</v>
      </c>
      <c r="Q94" s="1" t="s">
        <v>41</v>
      </c>
      <c r="R94" s="1" t="s">
        <v>42</v>
      </c>
      <c r="S94" s="2" t="s">
        <v>57</v>
      </c>
      <c r="T94" s="2" t="s">
        <v>58</v>
      </c>
      <c r="U94" s="4">
        <v>3</v>
      </c>
      <c r="V94" s="13">
        <v>7500</v>
      </c>
      <c r="W94" s="13">
        <f t="shared" si="13"/>
        <v>22500</v>
      </c>
      <c r="X94" s="13">
        <f t="shared" si="14"/>
        <v>25200.000000000004</v>
      </c>
      <c r="Y94" s="1"/>
      <c r="Z94" s="1">
        <v>2016</v>
      </c>
      <c r="AA94" s="1"/>
    </row>
    <row r="95" spans="1:27" ht="25.5" x14ac:dyDescent="0.25">
      <c r="A95" s="1" t="s">
        <v>705</v>
      </c>
      <c r="B95" s="2" t="s">
        <v>31</v>
      </c>
      <c r="C95" s="2" t="s">
        <v>706</v>
      </c>
      <c r="D95" s="2" t="s">
        <v>707</v>
      </c>
      <c r="E95" s="2" t="s">
        <v>707</v>
      </c>
      <c r="F95" s="2" t="s">
        <v>708</v>
      </c>
      <c r="G95" s="2" t="s">
        <v>712</v>
      </c>
      <c r="H95" s="14" t="s">
        <v>709</v>
      </c>
      <c r="I95" s="14" t="s">
        <v>713</v>
      </c>
      <c r="J95" s="1" t="s">
        <v>49</v>
      </c>
      <c r="K95" s="3">
        <v>0</v>
      </c>
      <c r="L95" s="1">
        <v>710000000</v>
      </c>
      <c r="M95" s="1" t="s">
        <v>37</v>
      </c>
      <c r="N95" s="1" t="s">
        <v>700</v>
      </c>
      <c r="O95" s="1" t="s">
        <v>39</v>
      </c>
      <c r="P95" s="1" t="s">
        <v>40</v>
      </c>
      <c r="Q95" s="1" t="s">
        <v>41</v>
      </c>
      <c r="R95" s="1" t="s">
        <v>42</v>
      </c>
      <c r="S95" s="2" t="s">
        <v>57</v>
      </c>
      <c r="T95" s="2" t="s">
        <v>58</v>
      </c>
      <c r="U95" s="4">
        <v>1</v>
      </c>
      <c r="V95" s="13">
        <v>1450</v>
      </c>
      <c r="W95" s="13">
        <f t="shared" si="13"/>
        <v>1450</v>
      </c>
      <c r="X95" s="13">
        <f t="shared" si="14"/>
        <v>1624.0000000000002</v>
      </c>
      <c r="Y95" s="1"/>
      <c r="Z95" s="1">
        <v>2016</v>
      </c>
      <c r="AA95" s="1"/>
    </row>
    <row r="96" spans="1:27" ht="18" customHeight="1" x14ac:dyDescent="0.25">
      <c r="A96" s="28" t="s">
        <v>339</v>
      </c>
      <c r="B96" s="3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5"/>
      <c r="V96" s="5"/>
      <c r="W96" s="16"/>
      <c r="X96" s="22">
        <f>SUM(X7:X95)</f>
        <v>29770260.996800005</v>
      </c>
      <c r="Y96" s="10"/>
      <c r="Z96" s="1"/>
      <c r="AA96" s="1"/>
    </row>
    <row r="97" spans="1:27" ht="18" customHeight="1" x14ac:dyDescent="0.25">
      <c r="A97" s="28" t="s">
        <v>340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0"/>
    </row>
    <row r="98" spans="1:27" ht="76.5" x14ac:dyDescent="0.25">
      <c r="A98" s="1" t="s">
        <v>341</v>
      </c>
      <c r="B98" s="1" t="s">
        <v>31</v>
      </c>
      <c r="C98" s="1" t="s">
        <v>342</v>
      </c>
      <c r="D98" s="1" t="s">
        <v>506</v>
      </c>
      <c r="E98" s="1" t="s">
        <v>343</v>
      </c>
      <c r="F98" s="1" t="s">
        <v>506</v>
      </c>
      <c r="G98" s="1" t="s">
        <v>343</v>
      </c>
      <c r="H98" s="1" t="s">
        <v>344</v>
      </c>
      <c r="I98" s="1" t="s">
        <v>345</v>
      </c>
      <c r="J98" s="2" t="s">
        <v>331</v>
      </c>
      <c r="K98" s="3">
        <v>0.5</v>
      </c>
      <c r="L98" s="1">
        <v>710000000</v>
      </c>
      <c r="M98" s="1" t="s">
        <v>37</v>
      </c>
      <c r="N98" s="1" t="s">
        <v>38</v>
      </c>
      <c r="O98" s="1" t="s">
        <v>39</v>
      </c>
      <c r="P98" s="1" t="s">
        <v>40</v>
      </c>
      <c r="Q98" s="1" t="s">
        <v>346</v>
      </c>
      <c r="R98" s="1" t="s">
        <v>42</v>
      </c>
      <c r="S98" s="1"/>
      <c r="T98" s="1" t="s">
        <v>347</v>
      </c>
      <c r="U98" s="1"/>
      <c r="V98" s="1"/>
      <c r="W98" s="13">
        <f>665000000/1.12</f>
        <v>593750000</v>
      </c>
      <c r="X98" s="13">
        <f t="shared" ref="X98:X100" si="15">W98*1.12</f>
        <v>665000000.00000012</v>
      </c>
      <c r="Y98" s="1" t="s">
        <v>424</v>
      </c>
      <c r="Z98" s="1">
        <v>2016</v>
      </c>
      <c r="AA98" s="1"/>
    </row>
    <row r="99" spans="1:27" ht="38.25" x14ac:dyDescent="0.25">
      <c r="A99" s="1" t="s">
        <v>348</v>
      </c>
      <c r="B99" s="1" t="s">
        <v>31</v>
      </c>
      <c r="C99" s="2" t="s">
        <v>462</v>
      </c>
      <c r="D99" s="2" t="s">
        <v>463</v>
      </c>
      <c r="E99" s="2" t="s">
        <v>464</v>
      </c>
      <c r="F99" s="2" t="s">
        <v>463</v>
      </c>
      <c r="G99" s="2" t="s">
        <v>464</v>
      </c>
      <c r="H99" s="1"/>
      <c r="I99" s="1"/>
      <c r="J99" s="2" t="s">
        <v>49</v>
      </c>
      <c r="K99" s="3">
        <v>0</v>
      </c>
      <c r="L99" s="1">
        <v>710000000</v>
      </c>
      <c r="M99" s="1" t="s">
        <v>37</v>
      </c>
      <c r="N99" s="1" t="s">
        <v>38</v>
      </c>
      <c r="O99" s="1" t="s">
        <v>39</v>
      </c>
      <c r="P99" s="1" t="s">
        <v>40</v>
      </c>
      <c r="Q99" s="1" t="s">
        <v>384</v>
      </c>
      <c r="R99" s="1" t="s">
        <v>42</v>
      </c>
      <c r="S99" s="1"/>
      <c r="T99" s="1" t="s">
        <v>347</v>
      </c>
      <c r="U99" s="15"/>
      <c r="V99" s="5"/>
      <c r="W99" s="13">
        <v>161700000</v>
      </c>
      <c r="X99" s="13">
        <f>W99*1</f>
        <v>161700000</v>
      </c>
      <c r="Y99" s="1"/>
      <c r="Z99" s="1">
        <v>2016</v>
      </c>
      <c r="AA99" s="1"/>
    </row>
    <row r="100" spans="1:27" ht="51" x14ac:dyDescent="0.25">
      <c r="A100" s="1" t="s">
        <v>465</v>
      </c>
      <c r="B100" s="1" t="s">
        <v>31</v>
      </c>
      <c r="C100" s="2" t="s">
        <v>468</v>
      </c>
      <c r="D100" s="2" t="s">
        <v>469</v>
      </c>
      <c r="E100" s="1" t="s">
        <v>470</v>
      </c>
      <c r="F100" s="2" t="s">
        <v>469</v>
      </c>
      <c r="G100" s="1" t="s">
        <v>470</v>
      </c>
      <c r="H100" s="1" t="s">
        <v>471</v>
      </c>
      <c r="I100" s="1" t="s">
        <v>472</v>
      </c>
      <c r="J100" s="2" t="s">
        <v>49</v>
      </c>
      <c r="K100" s="3">
        <v>0.5</v>
      </c>
      <c r="L100" s="1">
        <v>710000000</v>
      </c>
      <c r="M100" s="1" t="s">
        <v>37</v>
      </c>
      <c r="N100" s="1" t="s">
        <v>450</v>
      </c>
      <c r="O100" s="1" t="s">
        <v>39</v>
      </c>
      <c r="P100" s="1" t="s">
        <v>40</v>
      </c>
      <c r="Q100" s="1" t="s">
        <v>384</v>
      </c>
      <c r="R100" s="1" t="s">
        <v>42</v>
      </c>
      <c r="S100" s="1"/>
      <c r="T100" s="1" t="s">
        <v>347</v>
      </c>
      <c r="U100" s="15"/>
      <c r="V100" s="5"/>
      <c r="W100" s="13">
        <f>100000/1.12</f>
        <v>89285.714285714275</v>
      </c>
      <c r="X100" s="13">
        <f t="shared" si="15"/>
        <v>100000</v>
      </c>
      <c r="Y100" s="1"/>
      <c r="Z100" s="1">
        <v>2016</v>
      </c>
      <c r="AA100" s="1"/>
    </row>
    <row r="101" spans="1:27" ht="18" customHeight="1" x14ac:dyDescent="0.25">
      <c r="A101" s="28" t="s">
        <v>349</v>
      </c>
      <c r="B101" s="3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5"/>
      <c r="V101" s="5"/>
      <c r="W101" s="13"/>
      <c r="X101" s="22">
        <f>SUM(X98:X100)</f>
        <v>826800000.00000012</v>
      </c>
      <c r="Y101" s="17"/>
      <c r="Z101" s="1"/>
      <c r="AA101" s="1"/>
    </row>
    <row r="102" spans="1:27" ht="18" customHeight="1" x14ac:dyDescent="0.25">
      <c r="A102" s="28" t="s">
        <v>350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</row>
    <row r="103" spans="1:27" ht="38.25" x14ac:dyDescent="0.25">
      <c r="A103" s="1" t="s">
        <v>651</v>
      </c>
      <c r="B103" s="2" t="s">
        <v>31</v>
      </c>
      <c r="C103" s="2" t="s">
        <v>351</v>
      </c>
      <c r="D103" s="2" t="s">
        <v>352</v>
      </c>
      <c r="E103" s="2" t="s">
        <v>353</v>
      </c>
      <c r="F103" s="2" t="s">
        <v>352</v>
      </c>
      <c r="G103" s="2" t="s">
        <v>353</v>
      </c>
      <c r="H103" s="2" t="s">
        <v>354</v>
      </c>
      <c r="I103" s="2" t="s">
        <v>355</v>
      </c>
      <c r="J103" s="2" t="s">
        <v>49</v>
      </c>
      <c r="K103" s="3">
        <v>1</v>
      </c>
      <c r="L103" s="1">
        <v>710000000</v>
      </c>
      <c r="M103" s="1" t="s">
        <v>37</v>
      </c>
      <c r="N103" s="1" t="s">
        <v>38</v>
      </c>
      <c r="O103" s="1" t="s">
        <v>39</v>
      </c>
      <c r="P103" s="1"/>
      <c r="Q103" s="1" t="s">
        <v>356</v>
      </c>
      <c r="R103" s="1" t="s">
        <v>357</v>
      </c>
      <c r="S103" s="1"/>
      <c r="T103" s="1" t="s">
        <v>358</v>
      </c>
      <c r="U103" s="15"/>
      <c r="V103" s="5"/>
      <c r="W103" s="13">
        <v>18196114</v>
      </c>
      <c r="X103" s="13">
        <f>W103*1.12</f>
        <v>20379647.680000003</v>
      </c>
      <c r="Y103" s="18"/>
      <c r="Z103" s="1">
        <v>2016</v>
      </c>
      <c r="AA103" s="1"/>
    </row>
    <row r="104" spans="1:27" ht="38.25" x14ac:dyDescent="0.25">
      <c r="A104" s="1" t="s">
        <v>650</v>
      </c>
      <c r="B104" s="2" t="s">
        <v>31</v>
      </c>
      <c r="C104" s="2" t="s">
        <v>351</v>
      </c>
      <c r="D104" s="2" t="s">
        <v>352</v>
      </c>
      <c r="E104" s="2" t="s">
        <v>353</v>
      </c>
      <c r="F104" s="2" t="s">
        <v>352</v>
      </c>
      <c r="G104" s="2" t="s">
        <v>353</v>
      </c>
      <c r="H104" s="2" t="s">
        <v>359</v>
      </c>
      <c r="I104" s="2" t="s">
        <v>360</v>
      </c>
      <c r="J104" s="2" t="s">
        <v>49</v>
      </c>
      <c r="K104" s="3">
        <v>1</v>
      </c>
      <c r="L104" s="1">
        <v>710000000</v>
      </c>
      <c r="M104" s="1" t="s">
        <v>37</v>
      </c>
      <c r="N104" s="1" t="s">
        <v>38</v>
      </c>
      <c r="O104" s="1" t="s">
        <v>361</v>
      </c>
      <c r="P104" s="1"/>
      <c r="Q104" s="1" t="s">
        <v>356</v>
      </c>
      <c r="R104" s="1" t="s">
        <v>357</v>
      </c>
      <c r="S104" s="1"/>
      <c r="T104" s="1" t="s">
        <v>358</v>
      </c>
      <c r="U104" s="15"/>
      <c r="V104" s="5"/>
      <c r="W104" s="13">
        <v>120000</v>
      </c>
      <c r="X104" s="13">
        <f>W104*1.12</f>
        <v>134400</v>
      </c>
      <c r="Y104" s="18"/>
      <c r="Z104" s="1">
        <v>2016</v>
      </c>
      <c r="AA104" s="1"/>
    </row>
    <row r="105" spans="1:27" ht="38.25" x14ac:dyDescent="0.25">
      <c r="A105" s="1" t="s">
        <v>652</v>
      </c>
      <c r="B105" s="2" t="s">
        <v>31</v>
      </c>
      <c r="C105" s="2" t="s">
        <v>362</v>
      </c>
      <c r="D105" s="2" t="s">
        <v>363</v>
      </c>
      <c r="E105" s="2" t="s">
        <v>364</v>
      </c>
      <c r="F105" s="2" t="s">
        <v>365</v>
      </c>
      <c r="G105" s="2" t="s">
        <v>366</v>
      </c>
      <c r="H105" s="1"/>
      <c r="I105" s="1"/>
      <c r="J105" s="1" t="s">
        <v>49</v>
      </c>
      <c r="K105" s="3">
        <v>1</v>
      </c>
      <c r="L105" s="1">
        <v>710000000</v>
      </c>
      <c r="M105" s="1" t="s">
        <v>37</v>
      </c>
      <c r="N105" s="1" t="s">
        <v>38</v>
      </c>
      <c r="O105" s="1" t="s">
        <v>39</v>
      </c>
      <c r="P105" s="1"/>
      <c r="Q105" s="1" t="s">
        <v>367</v>
      </c>
      <c r="R105" s="1" t="s">
        <v>42</v>
      </c>
      <c r="S105" s="1"/>
      <c r="T105" s="1" t="s">
        <v>358</v>
      </c>
      <c r="U105" s="15"/>
      <c r="V105" s="5"/>
      <c r="W105" s="13">
        <v>4359000</v>
      </c>
      <c r="X105" s="13">
        <f>W105*1.12</f>
        <v>4882080</v>
      </c>
      <c r="Y105" s="18"/>
      <c r="Z105" s="1">
        <v>2016</v>
      </c>
      <c r="AA105" s="1"/>
    </row>
    <row r="106" spans="1:27" ht="38.25" x14ac:dyDescent="0.25">
      <c r="A106" s="1" t="s">
        <v>653</v>
      </c>
      <c r="B106" s="2" t="s">
        <v>31</v>
      </c>
      <c r="C106" s="2" t="s">
        <v>368</v>
      </c>
      <c r="D106" s="2" t="s">
        <v>369</v>
      </c>
      <c r="E106" s="2" t="s">
        <v>370</v>
      </c>
      <c r="F106" s="2" t="s">
        <v>369</v>
      </c>
      <c r="G106" s="2" t="s">
        <v>370</v>
      </c>
      <c r="H106" s="1"/>
      <c r="I106" s="1"/>
      <c r="J106" s="1" t="s">
        <v>49</v>
      </c>
      <c r="K106" s="3">
        <v>1</v>
      </c>
      <c r="L106" s="1">
        <v>710000000</v>
      </c>
      <c r="M106" s="1" t="s">
        <v>37</v>
      </c>
      <c r="N106" s="1" t="s">
        <v>38</v>
      </c>
      <c r="O106" s="1" t="s">
        <v>39</v>
      </c>
      <c r="P106" s="1"/>
      <c r="Q106" s="1" t="s">
        <v>367</v>
      </c>
      <c r="R106" s="1" t="s">
        <v>42</v>
      </c>
      <c r="S106" s="1"/>
      <c r="T106" s="1" t="s">
        <v>358</v>
      </c>
      <c r="U106" s="15"/>
      <c r="V106" s="5"/>
      <c r="W106" s="13">
        <v>110000</v>
      </c>
      <c r="X106" s="13">
        <f>W106*1.12</f>
        <v>123200.00000000001</v>
      </c>
      <c r="Y106" s="18"/>
      <c r="Z106" s="1">
        <v>2016</v>
      </c>
      <c r="AA106" s="1"/>
    </row>
    <row r="107" spans="1:27" ht="38.25" x14ac:dyDescent="0.25">
      <c r="A107" s="1" t="s">
        <v>654</v>
      </c>
      <c r="B107" s="2" t="s">
        <v>31</v>
      </c>
      <c r="C107" s="2" t="s">
        <v>371</v>
      </c>
      <c r="D107" s="2" t="s">
        <v>372</v>
      </c>
      <c r="E107" s="2" t="s">
        <v>373</v>
      </c>
      <c r="F107" s="2" t="s">
        <v>372</v>
      </c>
      <c r="G107" s="2" t="s">
        <v>373</v>
      </c>
      <c r="H107" s="2" t="s">
        <v>374</v>
      </c>
      <c r="I107" s="2" t="s">
        <v>375</v>
      </c>
      <c r="J107" s="2" t="s">
        <v>49</v>
      </c>
      <c r="K107" s="3">
        <v>1</v>
      </c>
      <c r="L107" s="1">
        <v>710000000</v>
      </c>
      <c r="M107" s="1" t="s">
        <v>37</v>
      </c>
      <c r="N107" s="1" t="s">
        <v>38</v>
      </c>
      <c r="O107" s="1" t="s">
        <v>39</v>
      </c>
      <c r="P107" s="1"/>
      <c r="Q107" s="1" t="s">
        <v>376</v>
      </c>
      <c r="R107" s="1" t="s">
        <v>377</v>
      </c>
      <c r="S107" s="1"/>
      <c r="T107" s="1" t="s">
        <v>358</v>
      </c>
      <c r="U107" s="15"/>
      <c r="V107" s="5"/>
      <c r="W107" s="13">
        <v>0</v>
      </c>
      <c r="X107" s="13">
        <f>W107</f>
        <v>0</v>
      </c>
      <c r="Y107" s="18"/>
      <c r="Z107" s="1">
        <v>2016</v>
      </c>
      <c r="AA107" s="1"/>
    </row>
    <row r="108" spans="1:27" ht="38.25" x14ac:dyDescent="0.25">
      <c r="A108" s="1" t="s">
        <v>688</v>
      </c>
      <c r="B108" s="2" t="s">
        <v>31</v>
      </c>
      <c r="C108" s="2" t="s">
        <v>371</v>
      </c>
      <c r="D108" s="2" t="s">
        <v>372</v>
      </c>
      <c r="E108" s="2" t="s">
        <v>373</v>
      </c>
      <c r="F108" s="2" t="s">
        <v>372</v>
      </c>
      <c r="G108" s="2" t="s">
        <v>373</v>
      </c>
      <c r="H108" s="2" t="s">
        <v>374</v>
      </c>
      <c r="I108" s="2" t="s">
        <v>375</v>
      </c>
      <c r="J108" s="2" t="s">
        <v>49</v>
      </c>
      <c r="K108" s="3">
        <v>1</v>
      </c>
      <c r="L108" s="1">
        <v>710000000</v>
      </c>
      <c r="M108" s="1" t="s">
        <v>37</v>
      </c>
      <c r="N108" s="1" t="s">
        <v>38</v>
      </c>
      <c r="O108" s="1" t="s">
        <v>39</v>
      </c>
      <c r="P108" s="1"/>
      <c r="Q108" s="1" t="s">
        <v>376</v>
      </c>
      <c r="R108" s="1" t="s">
        <v>377</v>
      </c>
      <c r="S108" s="1"/>
      <c r="T108" s="1" t="s">
        <v>358</v>
      </c>
      <c r="U108" s="15"/>
      <c r="V108" s="5"/>
      <c r="W108" s="13">
        <v>1014288</v>
      </c>
      <c r="X108" s="13">
        <f>W108</f>
        <v>1014288</v>
      </c>
      <c r="Y108" s="18"/>
      <c r="Z108" s="1">
        <v>2016</v>
      </c>
      <c r="AA108" s="1" t="s">
        <v>689</v>
      </c>
    </row>
    <row r="109" spans="1:27" ht="65.25" customHeight="1" x14ac:dyDescent="0.25">
      <c r="A109" s="1" t="s">
        <v>655</v>
      </c>
      <c r="B109" s="2" t="s">
        <v>31</v>
      </c>
      <c r="C109" s="1" t="s">
        <v>378</v>
      </c>
      <c r="D109" s="2" t="s">
        <v>379</v>
      </c>
      <c r="E109" s="2" t="s">
        <v>380</v>
      </c>
      <c r="F109" s="2" t="s">
        <v>379</v>
      </c>
      <c r="G109" s="2" t="s">
        <v>380</v>
      </c>
      <c r="H109" s="14" t="s">
        <v>381</v>
      </c>
      <c r="I109" s="14" t="s">
        <v>382</v>
      </c>
      <c r="J109" s="1" t="s">
        <v>49</v>
      </c>
      <c r="K109" s="1">
        <v>100</v>
      </c>
      <c r="L109" s="1">
        <v>710000000</v>
      </c>
      <c r="M109" s="1" t="s">
        <v>383</v>
      </c>
      <c r="N109" s="1" t="s">
        <v>38</v>
      </c>
      <c r="O109" s="1" t="s">
        <v>39</v>
      </c>
      <c r="P109" s="1"/>
      <c r="Q109" s="1" t="s">
        <v>384</v>
      </c>
      <c r="R109" s="1" t="s">
        <v>42</v>
      </c>
      <c r="S109" s="1"/>
      <c r="T109" s="1" t="s">
        <v>358</v>
      </c>
      <c r="U109" s="15"/>
      <c r="V109" s="5"/>
      <c r="W109" s="13">
        <v>100000</v>
      </c>
      <c r="X109" s="13">
        <f t="shared" ref="X109:X115" si="16">W109*1.12</f>
        <v>112000.00000000001</v>
      </c>
      <c r="Y109" s="18"/>
      <c r="Z109" s="1">
        <v>2016</v>
      </c>
      <c r="AA109" s="1"/>
    </row>
    <row r="110" spans="1:27" ht="38.25" x14ac:dyDescent="0.25">
      <c r="A110" s="1" t="s">
        <v>656</v>
      </c>
      <c r="B110" s="2" t="s">
        <v>31</v>
      </c>
      <c r="C110" s="2" t="s">
        <v>385</v>
      </c>
      <c r="D110" s="2" t="s">
        <v>386</v>
      </c>
      <c r="E110" s="2" t="s">
        <v>387</v>
      </c>
      <c r="F110" s="2" t="s">
        <v>386</v>
      </c>
      <c r="G110" s="2" t="s">
        <v>387</v>
      </c>
      <c r="H110" s="1" t="s">
        <v>425</v>
      </c>
      <c r="I110" s="1" t="s">
        <v>678</v>
      </c>
      <c r="J110" s="1" t="s">
        <v>49</v>
      </c>
      <c r="K110" s="3">
        <v>0</v>
      </c>
      <c r="L110" s="1">
        <v>710000000</v>
      </c>
      <c r="M110" s="1" t="s">
        <v>37</v>
      </c>
      <c r="N110" s="1" t="s">
        <v>38</v>
      </c>
      <c r="O110" s="1" t="s">
        <v>39</v>
      </c>
      <c r="P110" s="1"/>
      <c r="Q110" s="1" t="s">
        <v>367</v>
      </c>
      <c r="R110" s="1" t="s">
        <v>42</v>
      </c>
      <c r="S110" s="1"/>
      <c r="T110" s="1" t="s">
        <v>358</v>
      </c>
      <c r="U110" s="15"/>
      <c r="V110" s="5"/>
      <c r="W110" s="13">
        <v>550000</v>
      </c>
      <c r="X110" s="13">
        <f>W110*1.12</f>
        <v>616000.00000000012</v>
      </c>
      <c r="Y110" s="18"/>
      <c r="Z110" s="1">
        <v>2016</v>
      </c>
      <c r="AA110" s="1"/>
    </row>
    <row r="111" spans="1:27" ht="38.25" x14ac:dyDescent="0.25">
      <c r="A111" s="1" t="s">
        <v>657</v>
      </c>
      <c r="B111" s="2" t="s">
        <v>31</v>
      </c>
      <c r="C111" s="2" t="s">
        <v>385</v>
      </c>
      <c r="D111" s="2" t="s">
        <v>386</v>
      </c>
      <c r="E111" s="2" t="s">
        <v>387</v>
      </c>
      <c r="F111" s="2" t="s">
        <v>386</v>
      </c>
      <c r="G111" s="2" t="s">
        <v>387</v>
      </c>
      <c r="H111" s="1" t="s">
        <v>426</v>
      </c>
      <c r="I111" s="1" t="s">
        <v>679</v>
      </c>
      <c r="J111" s="1" t="s">
        <v>49</v>
      </c>
      <c r="K111" s="3">
        <v>1</v>
      </c>
      <c r="L111" s="1">
        <v>710000000</v>
      </c>
      <c r="M111" s="1" t="s">
        <v>37</v>
      </c>
      <c r="N111" s="1" t="s">
        <v>38</v>
      </c>
      <c r="O111" s="1" t="s">
        <v>39</v>
      </c>
      <c r="P111" s="1"/>
      <c r="Q111" s="1" t="s">
        <v>367</v>
      </c>
      <c r="R111" s="1" t="s">
        <v>42</v>
      </c>
      <c r="S111" s="1"/>
      <c r="T111" s="1" t="s">
        <v>358</v>
      </c>
      <c r="U111" s="15"/>
      <c r="V111" s="5"/>
      <c r="W111" s="13">
        <v>50000</v>
      </c>
      <c r="X111" s="13">
        <f t="shared" si="16"/>
        <v>56000.000000000007</v>
      </c>
      <c r="Y111" s="18" t="s">
        <v>388</v>
      </c>
      <c r="Z111" s="1">
        <v>2016</v>
      </c>
      <c r="AA111" s="1"/>
    </row>
    <row r="112" spans="1:27" ht="38.25" x14ac:dyDescent="0.25">
      <c r="A112" s="1" t="s">
        <v>658</v>
      </c>
      <c r="B112" s="2" t="s">
        <v>31</v>
      </c>
      <c r="C112" s="2" t="s">
        <v>389</v>
      </c>
      <c r="D112" s="2" t="s">
        <v>390</v>
      </c>
      <c r="E112" s="2" t="s">
        <v>391</v>
      </c>
      <c r="F112" s="2" t="s">
        <v>390</v>
      </c>
      <c r="G112" s="2" t="s">
        <v>391</v>
      </c>
      <c r="H112" s="1"/>
      <c r="I112" s="1"/>
      <c r="J112" s="1" t="s">
        <v>49</v>
      </c>
      <c r="K112" s="3">
        <v>1</v>
      </c>
      <c r="L112" s="1">
        <v>710000000</v>
      </c>
      <c r="M112" s="1" t="s">
        <v>37</v>
      </c>
      <c r="N112" s="1" t="s">
        <v>38</v>
      </c>
      <c r="O112" s="1" t="s">
        <v>39</v>
      </c>
      <c r="P112" s="1"/>
      <c r="Q112" s="1" t="s">
        <v>392</v>
      </c>
      <c r="R112" s="1" t="s">
        <v>42</v>
      </c>
      <c r="S112" s="1"/>
      <c r="T112" s="1" t="s">
        <v>358</v>
      </c>
      <c r="U112" s="15"/>
      <c r="V112" s="5"/>
      <c r="W112" s="13">
        <v>219000</v>
      </c>
      <c r="X112" s="13">
        <f t="shared" si="16"/>
        <v>245280.00000000003</v>
      </c>
      <c r="Y112" s="18"/>
      <c r="Z112" s="1">
        <v>2016</v>
      </c>
      <c r="AA112" s="1"/>
    </row>
    <row r="113" spans="1:27" ht="71.25" customHeight="1" x14ac:dyDescent="0.25">
      <c r="A113" s="1" t="s">
        <v>659</v>
      </c>
      <c r="B113" s="2" t="s">
        <v>31</v>
      </c>
      <c r="C113" s="2" t="s">
        <v>393</v>
      </c>
      <c r="D113" s="2" t="s">
        <v>394</v>
      </c>
      <c r="E113" s="2" t="s">
        <v>395</v>
      </c>
      <c r="F113" s="2" t="s">
        <v>394</v>
      </c>
      <c r="G113" s="2" t="s">
        <v>395</v>
      </c>
      <c r="H113" s="1"/>
      <c r="I113" s="1"/>
      <c r="J113" s="1" t="s">
        <v>49</v>
      </c>
      <c r="K113" s="3">
        <v>1</v>
      </c>
      <c r="L113" s="1">
        <v>710000000</v>
      </c>
      <c r="M113" s="1" t="s">
        <v>37</v>
      </c>
      <c r="N113" s="1" t="s">
        <v>396</v>
      </c>
      <c r="O113" s="1" t="s">
        <v>39</v>
      </c>
      <c r="P113" s="1"/>
      <c r="Q113" s="1" t="s">
        <v>356</v>
      </c>
      <c r="R113" s="1" t="s">
        <v>397</v>
      </c>
      <c r="S113" s="1"/>
      <c r="T113" s="1" t="s">
        <v>358</v>
      </c>
      <c r="U113" s="15"/>
      <c r="V113" s="5"/>
      <c r="W113" s="13">
        <v>3225750</v>
      </c>
      <c r="X113" s="13">
        <f t="shared" si="16"/>
        <v>3612840.0000000005</v>
      </c>
      <c r="Y113" s="18"/>
      <c r="Z113" s="1">
        <v>2016</v>
      </c>
      <c r="AA113" s="1"/>
    </row>
    <row r="114" spans="1:27" ht="69.75" customHeight="1" x14ac:dyDescent="0.25">
      <c r="A114" s="1" t="s">
        <v>660</v>
      </c>
      <c r="B114" s="2" t="s">
        <v>31</v>
      </c>
      <c r="C114" s="2" t="s">
        <v>403</v>
      </c>
      <c r="D114" s="2" t="s">
        <v>404</v>
      </c>
      <c r="E114" s="2" t="s">
        <v>405</v>
      </c>
      <c r="F114" s="2" t="s">
        <v>404</v>
      </c>
      <c r="G114" s="2" t="s">
        <v>405</v>
      </c>
      <c r="H114" s="2" t="s">
        <v>413</v>
      </c>
      <c r="I114" s="2" t="s">
        <v>406</v>
      </c>
      <c r="J114" s="1" t="s">
        <v>49</v>
      </c>
      <c r="K114" s="3">
        <v>1</v>
      </c>
      <c r="L114" s="1">
        <v>710000000</v>
      </c>
      <c r="M114" s="1" t="s">
        <v>37</v>
      </c>
      <c r="N114" s="1" t="s">
        <v>396</v>
      </c>
      <c r="O114" s="1" t="s">
        <v>39</v>
      </c>
      <c r="P114" s="1"/>
      <c r="Q114" s="1" t="s">
        <v>356</v>
      </c>
      <c r="R114" s="1" t="s">
        <v>397</v>
      </c>
      <c r="S114" s="1"/>
      <c r="T114" s="1" t="s">
        <v>358</v>
      </c>
      <c r="U114" s="15"/>
      <c r="V114" s="5"/>
      <c r="W114" s="13">
        <f>2808000+120000</f>
        <v>2928000</v>
      </c>
      <c r="X114" s="13">
        <f>W114*1.12</f>
        <v>3279360.0000000005</v>
      </c>
      <c r="Y114" s="18"/>
      <c r="Z114" s="1">
        <v>2016</v>
      </c>
      <c r="AA114" s="1"/>
    </row>
    <row r="115" spans="1:27" ht="70.5" customHeight="1" x14ac:dyDescent="0.25">
      <c r="A115" s="1" t="s">
        <v>661</v>
      </c>
      <c r="B115" s="2" t="s">
        <v>31</v>
      </c>
      <c r="C115" s="2" t="s">
        <v>398</v>
      </c>
      <c r="D115" s="2" t="s">
        <v>399</v>
      </c>
      <c r="E115" s="2" t="s">
        <v>400</v>
      </c>
      <c r="F115" s="2" t="s">
        <v>453</v>
      </c>
      <c r="G115" s="2" t="s">
        <v>400</v>
      </c>
      <c r="H115" s="1" t="s">
        <v>401</v>
      </c>
      <c r="I115" s="1" t="s">
        <v>402</v>
      </c>
      <c r="J115" s="1" t="s">
        <v>49</v>
      </c>
      <c r="K115" s="3">
        <v>1</v>
      </c>
      <c r="L115" s="1">
        <v>710000000</v>
      </c>
      <c r="M115" s="1" t="s">
        <v>37</v>
      </c>
      <c r="N115" s="1" t="s">
        <v>396</v>
      </c>
      <c r="O115" s="1" t="s">
        <v>39</v>
      </c>
      <c r="P115" s="1"/>
      <c r="Q115" s="1" t="s">
        <v>356</v>
      </c>
      <c r="R115" s="1" t="s">
        <v>397</v>
      </c>
      <c r="S115" s="1"/>
      <c r="T115" s="1" t="s">
        <v>358</v>
      </c>
      <c r="U115" s="15"/>
      <c r="V115" s="5"/>
      <c r="W115" s="13">
        <v>895000</v>
      </c>
      <c r="X115" s="13">
        <f t="shared" si="16"/>
        <v>1002400.0000000001</v>
      </c>
      <c r="Y115" s="18"/>
      <c r="Z115" s="1">
        <v>2016</v>
      </c>
      <c r="AA115" s="1"/>
    </row>
    <row r="116" spans="1:27" ht="38.25" x14ac:dyDescent="0.25">
      <c r="A116" s="1" t="s">
        <v>662</v>
      </c>
      <c r="B116" s="2" t="s">
        <v>31</v>
      </c>
      <c r="C116" s="2" t="s">
        <v>456</v>
      </c>
      <c r="D116" s="2" t="s">
        <v>457</v>
      </c>
      <c r="E116" s="2" t="s">
        <v>458</v>
      </c>
      <c r="F116" s="2" t="s">
        <v>457</v>
      </c>
      <c r="G116" s="2" t="s">
        <v>458</v>
      </c>
      <c r="H116" s="2"/>
      <c r="I116" s="2"/>
      <c r="J116" s="1" t="s">
        <v>49</v>
      </c>
      <c r="K116" s="3">
        <v>1</v>
      </c>
      <c r="L116" s="1">
        <v>710000000</v>
      </c>
      <c r="M116" s="1" t="s">
        <v>37</v>
      </c>
      <c r="N116" s="1" t="s">
        <v>454</v>
      </c>
      <c r="O116" s="1" t="s">
        <v>39</v>
      </c>
      <c r="P116" s="1"/>
      <c r="Q116" s="1" t="s">
        <v>356</v>
      </c>
      <c r="R116" s="1" t="s">
        <v>42</v>
      </c>
      <c r="S116" s="1"/>
      <c r="T116" s="1" t="s">
        <v>358</v>
      </c>
      <c r="U116" s="15"/>
      <c r="V116" s="5"/>
      <c r="W116" s="13">
        <v>0</v>
      </c>
      <c r="X116" s="13">
        <f>W116*1</f>
        <v>0</v>
      </c>
      <c r="Y116" s="18"/>
      <c r="Z116" s="1">
        <v>2016</v>
      </c>
      <c r="AA116" s="1"/>
    </row>
    <row r="117" spans="1:27" ht="38.25" x14ac:dyDescent="0.25">
      <c r="A117" s="1" t="s">
        <v>687</v>
      </c>
      <c r="B117" s="2" t="s">
        <v>31</v>
      </c>
      <c r="C117" s="2" t="s">
        <v>456</v>
      </c>
      <c r="D117" s="2" t="s">
        <v>457</v>
      </c>
      <c r="E117" s="2" t="s">
        <v>458</v>
      </c>
      <c r="F117" s="2" t="s">
        <v>457</v>
      </c>
      <c r="G117" s="2" t="s">
        <v>458</v>
      </c>
      <c r="H117" s="2"/>
      <c r="I117" s="2"/>
      <c r="J117" s="1" t="s">
        <v>49</v>
      </c>
      <c r="K117" s="3">
        <v>1</v>
      </c>
      <c r="L117" s="1">
        <v>710000000</v>
      </c>
      <c r="M117" s="1" t="s">
        <v>37</v>
      </c>
      <c r="N117" s="1" t="s">
        <v>454</v>
      </c>
      <c r="O117" s="1" t="s">
        <v>39</v>
      </c>
      <c r="P117" s="1"/>
      <c r="Q117" s="1" t="s">
        <v>356</v>
      </c>
      <c r="R117" s="1" t="s">
        <v>42</v>
      </c>
      <c r="S117" s="1"/>
      <c r="T117" s="1" t="s">
        <v>358</v>
      </c>
      <c r="U117" s="15"/>
      <c r="V117" s="5"/>
      <c r="W117" s="13">
        <v>2651750</v>
      </c>
      <c r="X117" s="13">
        <f>W117*1.12</f>
        <v>2969960.0000000005</v>
      </c>
      <c r="Y117" s="18"/>
      <c r="Z117" s="1">
        <v>2016</v>
      </c>
      <c r="AA117" s="1" t="s">
        <v>689</v>
      </c>
    </row>
    <row r="118" spans="1:27" ht="38.25" x14ac:dyDescent="0.25">
      <c r="A118" s="1" t="s">
        <v>663</v>
      </c>
      <c r="B118" s="2" t="s">
        <v>31</v>
      </c>
      <c r="C118" s="2" t="s">
        <v>451</v>
      </c>
      <c r="D118" s="2" t="s">
        <v>452</v>
      </c>
      <c r="E118" s="2" t="s">
        <v>455</v>
      </c>
      <c r="F118" s="2" t="s">
        <v>452</v>
      </c>
      <c r="G118" s="2" t="s">
        <v>455</v>
      </c>
      <c r="H118" s="2"/>
      <c r="I118" s="2"/>
      <c r="J118" s="1" t="s">
        <v>49</v>
      </c>
      <c r="K118" s="19">
        <v>0.5</v>
      </c>
      <c r="L118" s="1">
        <v>710000000</v>
      </c>
      <c r="M118" s="1" t="s">
        <v>37</v>
      </c>
      <c r="N118" s="1" t="s">
        <v>454</v>
      </c>
      <c r="O118" s="1" t="s">
        <v>39</v>
      </c>
      <c r="P118" s="1"/>
      <c r="Q118" s="1" t="s">
        <v>356</v>
      </c>
      <c r="R118" s="1" t="s">
        <v>42</v>
      </c>
      <c r="S118" s="1"/>
      <c r="T118" s="1" t="s">
        <v>358</v>
      </c>
      <c r="U118" s="15"/>
      <c r="V118" s="5"/>
      <c r="W118" s="13">
        <v>100000</v>
      </c>
      <c r="X118" s="13">
        <f>W118*1.12</f>
        <v>112000.00000000001</v>
      </c>
      <c r="Y118" s="18"/>
      <c r="Z118" s="1">
        <v>2016</v>
      </c>
      <c r="AA118" s="1"/>
    </row>
    <row r="119" spans="1:27" ht="38.25" x14ac:dyDescent="0.25">
      <c r="A119" s="1" t="s">
        <v>664</v>
      </c>
      <c r="B119" s="2" t="s">
        <v>31</v>
      </c>
      <c r="C119" s="2" t="s">
        <v>459</v>
      </c>
      <c r="D119" s="2" t="s">
        <v>460</v>
      </c>
      <c r="E119" s="2" t="s">
        <v>461</v>
      </c>
      <c r="F119" s="2" t="s">
        <v>460</v>
      </c>
      <c r="G119" s="2" t="s">
        <v>461</v>
      </c>
      <c r="H119" s="2" t="s">
        <v>466</v>
      </c>
      <c r="I119" s="2" t="s">
        <v>467</v>
      </c>
      <c r="J119" s="1" t="s">
        <v>49</v>
      </c>
      <c r="K119" s="3">
        <v>1</v>
      </c>
      <c r="L119" s="1">
        <v>710000000</v>
      </c>
      <c r="M119" s="1" t="s">
        <v>37</v>
      </c>
      <c r="N119" s="1" t="s">
        <v>450</v>
      </c>
      <c r="O119" s="1" t="s">
        <v>39</v>
      </c>
      <c r="P119" s="1"/>
      <c r="Q119" s="1" t="s">
        <v>356</v>
      </c>
      <c r="R119" s="1" t="s">
        <v>42</v>
      </c>
      <c r="S119" s="1"/>
      <c r="T119" s="1" t="s">
        <v>358</v>
      </c>
      <c r="U119" s="15"/>
      <c r="V119" s="5"/>
      <c r="W119" s="13">
        <f>200000/1.12</f>
        <v>178571.42857142855</v>
      </c>
      <c r="X119" s="13">
        <f>W119*1.12</f>
        <v>200000</v>
      </c>
      <c r="Y119" s="18"/>
      <c r="Z119" s="1">
        <v>2016</v>
      </c>
      <c r="AA119" s="1"/>
    </row>
    <row r="120" spans="1:27" ht="15" customHeight="1" x14ac:dyDescent="0.25">
      <c r="A120" s="28" t="s">
        <v>407</v>
      </c>
      <c r="B120" s="3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5"/>
      <c r="V120" s="5"/>
      <c r="W120" s="16"/>
      <c r="X120" s="22">
        <f>SUM(X103:X119)</f>
        <v>38739455.680000007</v>
      </c>
      <c r="Y120" s="10"/>
      <c r="Z120" s="1"/>
      <c r="AA120" s="1"/>
    </row>
    <row r="121" spans="1:27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5"/>
      <c r="V121" s="5"/>
      <c r="W121" s="5"/>
      <c r="X121" s="22"/>
      <c r="Y121" s="10"/>
      <c r="Z121" s="1"/>
      <c r="AA121" s="1"/>
    </row>
    <row r="122" spans="1:27" ht="15" customHeight="1" x14ac:dyDescent="0.25">
      <c r="A122" s="10" t="s">
        <v>408</v>
      </c>
      <c r="B122" s="10"/>
      <c r="C122" s="10"/>
      <c r="D122" s="10"/>
      <c r="E122" s="1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5"/>
      <c r="V122" s="5"/>
      <c r="W122" s="16"/>
      <c r="X122" s="22">
        <f>X96+X101+X120</f>
        <v>895309716.67680025</v>
      </c>
      <c r="Y122" s="10"/>
      <c r="Z122" s="1"/>
      <c r="AA122" s="1"/>
    </row>
    <row r="123" spans="1:27" x14ac:dyDescent="0.25">
      <c r="A123" s="20"/>
      <c r="B123" s="31"/>
      <c r="C123" s="31"/>
      <c r="D123" s="31"/>
      <c r="E123" s="31"/>
      <c r="F123" s="31"/>
      <c r="G123" s="31"/>
      <c r="H123" s="31"/>
      <c r="I123" s="25"/>
      <c r="J123" s="8"/>
      <c r="X123" s="20"/>
      <c r="Y123" s="20"/>
    </row>
    <row r="124" spans="1:27" x14ac:dyDescent="0.25">
      <c r="A124" s="20"/>
      <c r="C124" s="20"/>
      <c r="D124" s="20"/>
      <c r="E124" s="20"/>
      <c r="F124" s="8"/>
      <c r="G124" s="8"/>
      <c r="H124" s="8"/>
      <c r="I124" s="8"/>
      <c r="J124" s="8"/>
      <c r="X124" s="20"/>
      <c r="Y124" s="20"/>
    </row>
    <row r="125" spans="1:27" x14ac:dyDescent="0.25">
      <c r="A125" s="20"/>
      <c r="B125" s="32" t="s">
        <v>409</v>
      </c>
      <c r="C125" s="32"/>
      <c r="D125" s="32"/>
      <c r="E125" s="32"/>
      <c r="F125" s="32"/>
      <c r="G125" s="32"/>
      <c r="H125" s="32"/>
      <c r="J125" s="8"/>
      <c r="X125" s="20"/>
      <c r="Y125" s="20"/>
    </row>
    <row r="126" spans="1:27" x14ac:dyDescent="0.25">
      <c r="A126" s="20"/>
      <c r="B126" s="27" t="s">
        <v>502</v>
      </c>
      <c r="C126" s="27"/>
      <c r="D126" s="27"/>
      <c r="E126" s="27"/>
      <c r="F126" s="27"/>
      <c r="G126" s="27"/>
      <c r="H126" s="27"/>
      <c r="I126" s="24"/>
      <c r="J126" s="8"/>
      <c r="X126" s="20"/>
      <c r="Y126" s="20"/>
    </row>
    <row r="127" spans="1:27" x14ac:dyDescent="0.25">
      <c r="A127" s="20"/>
      <c r="B127" s="27" t="s">
        <v>503</v>
      </c>
      <c r="C127" s="27"/>
      <c r="D127" s="27"/>
      <c r="E127" s="27"/>
      <c r="F127" s="27"/>
      <c r="G127" s="27"/>
      <c r="H127" s="27"/>
      <c r="I127" s="24"/>
      <c r="J127" s="8"/>
      <c r="X127" s="20"/>
      <c r="Y127" s="20"/>
    </row>
    <row r="128" spans="1:27" x14ac:dyDescent="0.25">
      <c r="A128" s="20"/>
      <c r="B128" s="27" t="s">
        <v>504</v>
      </c>
      <c r="C128" s="27"/>
      <c r="D128" s="27"/>
      <c r="E128" s="27"/>
      <c r="F128" s="27"/>
      <c r="G128" s="27"/>
      <c r="H128" s="27"/>
      <c r="I128" s="24"/>
      <c r="J128" s="8"/>
      <c r="X128" s="20"/>
      <c r="Y128" s="20"/>
    </row>
    <row r="129" spans="1:25" x14ac:dyDescent="0.25">
      <c r="A129" s="20"/>
      <c r="B129" s="27" t="s">
        <v>564</v>
      </c>
      <c r="C129" s="27"/>
      <c r="D129" s="27"/>
      <c r="E129" s="27"/>
      <c r="F129" s="27"/>
      <c r="G129" s="27"/>
      <c r="H129" s="27"/>
      <c r="I129" s="24"/>
      <c r="J129" s="8"/>
      <c r="X129" s="8"/>
      <c r="Y129" s="8"/>
    </row>
    <row r="130" spans="1:25" x14ac:dyDescent="0.25">
      <c r="A130" s="20"/>
      <c r="B130" s="27" t="s">
        <v>563</v>
      </c>
      <c r="C130" s="27"/>
      <c r="D130" s="27"/>
      <c r="E130" s="27"/>
      <c r="F130" s="27"/>
      <c r="G130" s="27"/>
      <c r="H130" s="27"/>
      <c r="I130" s="24"/>
      <c r="J130" s="8"/>
    </row>
    <row r="131" spans="1:25" x14ac:dyDescent="0.25">
      <c r="B131" s="27" t="s">
        <v>505</v>
      </c>
      <c r="C131" s="27"/>
      <c r="D131" s="27"/>
      <c r="E131" s="27"/>
      <c r="F131" s="27"/>
      <c r="G131" s="27"/>
      <c r="H131" s="27"/>
      <c r="I131" s="24"/>
      <c r="J131" s="8"/>
    </row>
  </sheetData>
  <mergeCells count="14">
    <mergeCell ref="B127:H127"/>
    <mergeCell ref="B128:H128"/>
    <mergeCell ref="B129:H129"/>
    <mergeCell ref="B130:H130"/>
    <mergeCell ref="B131:H131"/>
    <mergeCell ref="B126:H126"/>
    <mergeCell ref="A6:AA6"/>
    <mergeCell ref="A96:B96"/>
    <mergeCell ref="A97:AA97"/>
    <mergeCell ref="A101:B101"/>
    <mergeCell ref="A102:AA102"/>
    <mergeCell ref="A120:B120"/>
    <mergeCell ref="B123:H123"/>
    <mergeCell ref="B125:H125"/>
  </mergeCells>
  <pageMargins left="0.7" right="0.7" top="0.75" bottom="0.75" header="0.3" footer="0.3"/>
  <pageSetup paperSize="9" scale="19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2016-03-28T04:23:32Z</cp:lastPrinted>
  <dcterms:created xsi:type="dcterms:W3CDTF">2016-03-10T05:13:47Z</dcterms:created>
  <dcterms:modified xsi:type="dcterms:W3CDTF">2016-05-13T08:52:51Z</dcterms:modified>
</cp:coreProperties>
</file>